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Z:\Serveur_CFD\Tourisme - Animation\Sentiers Randonnée\2. Liaisons douces\5. Simulateur de distance\"/>
    </mc:Choice>
  </mc:AlternateContent>
  <xr:revisionPtr revIDLastSave="0" documentId="10_ncr:8100000_{5478C1AA-1A23-4010-AB81-E5807CD00DC7}" xr6:coauthVersionLast="34" xr6:coauthVersionMax="34" xr10:uidLastSave="{00000000-0000-0000-0000-000000000000}"/>
  <bookViews>
    <workbookView xWindow="0" yWindow="0" windowWidth="20490" windowHeight="7230" xr2:uid="{00000000-000D-0000-FFFF-FFFF00000000}"/>
  </bookViews>
  <sheets>
    <sheet name="Formulaire" sheetId="5" r:id="rId1"/>
    <sheet name="Tableau de référence" sheetId="6" r:id="rId2"/>
    <sheet name="Piéton" sheetId="7" r:id="rId3"/>
    <sheet name="Vélo" sheetId="8" r:id="rId4"/>
  </sheets>
  <definedNames>
    <definedName name="_xlnm.Print_Area" localSheetId="2">Piéton!$A$1:$Z$27</definedName>
    <definedName name="_xlnm.Print_Area" localSheetId="1">'Tableau de référence'!$A$28:$P$43</definedName>
    <definedName name="_xlnm.Print_Area" localSheetId="3">Vélo!$A$1:$Z$27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7" i="7" l="1"/>
  <c r="V27" i="7"/>
  <c r="U27" i="7"/>
  <c r="T27" i="7"/>
  <c r="S27" i="7"/>
  <c r="R27" i="7"/>
  <c r="Q27" i="7"/>
  <c r="P27" i="7"/>
  <c r="O27" i="7"/>
  <c r="N27" i="7"/>
  <c r="M27" i="7"/>
  <c r="L27" i="7"/>
  <c r="K27" i="7"/>
  <c r="J27" i="7"/>
  <c r="I27" i="7"/>
  <c r="H27" i="7"/>
  <c r="G27" i="7"/>
  <c r="F27" i="7"/>
  <c r="E27" i="7"/>
  <c r="D27" i="7"/>
  <c r="C27" i="7"/>
  <c r="B27" i="7"/>
  <c r="W26" i="7"/>
  <c r="V26" i="7"/>
  <c r="U26" i="7"/>
  <c r="T26" i="7"/>
  <c r="S26" i="7"/>
  <c r="R26" i="7"/>
  <c r="Q26" i="7"/>
  <c r="P26" i="7"/>
  <c r="O26" i="7"/>
  <c r="N26" i="7"/>
  <c r="M26" i="7"/>
  <c r="L26" i="7"/>
  <c r="K26" i="7"/>
  <c r="J26" i="7"/>
  <c r="I26" i="7"/>
  <c r="H26" i="7"/>
  <c r="G26" i="7"/>
  <c r="F26" i="7"/>
  <c r="E26" i="7"/>
  <c r="D26" i="7"/>
  <c r="C26" i="7"/>
  <c r="B26" i="7"/>
  <c r="W25" i="7"/>
  <c r="V25" i="7"/>
  <c r="U25" i="7"/>
  <c r="T25" i="7"/>
  <c r="S25" i="7"/>
  <c r="R25" i="7"/>
  <c r="Q25" i="7"/>
  <c r="P25" i="7"/>
  <c r="O25" i="7"/>
  <c r="N25" i="7"/>
  <c r="M25" i="7"/>
  <c r="L25" i="7"/>
  <c r="K25" i="7"/>
  <c r="J25" i="7"/>
  <c r="I25" i="7"/>
  <c r="H25" i="7"/>
  <c r="G25" i="7"/>
  <c r="F25" i="7"/>
  <c r="E25" i="7"/>
  <c r="D25" i="7"/>
  <c r="C25" i="7"/>
  <c r="B25" i="7"/>
  <c r="Z24" i="7"/>
  <c r="Y24" i="7"/>
  <c r="X24" i="7"/>
  <c r="V24" i="7"/>
  <c r="U24" i="7"/>
  <c r="T24" i="7"/>
  <c r="S24" i="7"/>
  <c r="R24" i="7"/>
  <c r="Q24" i="7"/>
  <c r="P24" i="7"/>
  <c r="O24" i="7"/>
  <c r="N24" i="7"/>
  <c r="M24" i="7"/>
  <c r="L24" i="7"/>
  <c r="K24" i="7"/>
  <c r="J24" i="7"/>
  <c r="I24" i="7"/>
  <c r="H24" i="7"/>
  <c r="G24" i="7"/>
  <c r="F24" i="7"/>
  <c r="E24" i="7"/>
  <c r="D24" i="7"/>
  <c r="C24" i="7"/>
  <c r="B24" i="7"/>
  <c r="Z23" i="7"/>
  <c r="Y23" i="7"/>
  <c r="X23" i="7"/>
  <c r="W23" i="7"/>
  <c r="T23" i="7"/>
  <c r="S23" i="7"/>
  <c r="R23" i="7"/>
  <c r="Q23" i="7"/>
  <c r="P23" i="7"/>
  <c r="O23" i="7"/>
  <c r="N23" i="7"/>
  <c r="M23" i="7"/>
  <c r="L23" i="7"/>
  <c r="K23" i="7"/>
  <c r="J23" i="7"/>
  <c r="I23" i="7"/>
  <c r="H23" i="7"/>
  <c r="G23" i="7"/>
  <c r="F23" i="7"/>
  <c r="E23" i="7"/>
  <c r="D23" i="7"/>
  <c r="C23" i="7"/>
  <c r="B23" i="7"/>
  <c r="Z22" i="7"/>
  <c r="Y22" i="7"/>
  <c r="X22" i="7"/>
  <c r="W22" i="7"/>
  <c r="T22" i="7"/>
  <c r="S22" i="7"/>
  <c r="R22" i="7"/>
  <c r="Q22" i="7"/>
  <c r="P22" i="7"/>
  <c r="O22" i="7"/>
  <c r="N22" i="7"/>
  <c r="M22" i="7"/>
  <c r="L22" i="7"/>
  <c r="K22" i="7"/>
  <c r="J22" i="7"/>
  <c r="I22" i="7"/>
  <c r="H22" i="7"/>
  <c r="G22" i="7"/>
  <c r="F22" i="7"/>
  <c r="E22" i="7"/>
  <c r="D22" i="7"/>
  <c r="C22" i="7"/>
  <c r="B22" i="7"/>
  <c r="Z21" i="7"/>
  <c r="Y21" i="7"/>
  <c r="X21" i="7"/>
  <c r="W21" i="7"/>
  <c r="V21" i="7"/>
  <c r="U21" i="7"/>
  <c r="S21" i="7"/>
  <c r="R21" i="7"/>
  <c r="Q21" i="7"/>
  <c r="P21" i="7"/>
  <c r="O21" i="7"/>
  <c r="N21" i="7"/>
  <c r="M21" i="7"/>
  <c r="L21" i="7"/>
  <c r="K21" i="7"/>
  <c r="J21" i="7"/>
  <c r="I21" i="7"/>
  <c r="H21" i="7"/>
  <c r="G21" i="7"/>
  <c r="F21" i="7"/>
  <c r="E21" i="7"/>
  <c r="D21" i="7"/>
  <c r="C21" i="7"/>
  <c r="B21" i="7"/>
  <c r="Z20" i="7"/>
  <c r="Y20" i="7"/>
  <c r="X20" i="7"/>
  <c r="W20" i="7"/>
  <c r="V20" i="7"/>
  <c r="U20" i="7"/>
  <c r="T20" i="7"/>
  <c r="R20" i="7"/>
  <c r="Q20" i="7"/>
  <c r="P20" i="7"/>
  <c r="O20" i="7"/>
  <c r="N20" i="7"/>
  <c r="M20" i="7"/>
  <c r="L20" i="7"/>
  <c r="K20" i="7"/>
  <c r="J20" i="7"/>
  <c r="I20" i="7"/>
  <c r="H20" i="7"/>
  <c r="G20" i="7"/>
  <c r="F20" i="7"/>
  <c r="E20" i="7"/>
  <c r="D20" i="7"/>
  <c r="C20" i="7"/>
  <c r="B20" i="7"/>
  <c r="Z19" i="7"/>
  <c r="Y19" i="7"/>
  <c r="X19" i="7"/>
  <c r="W19" i="7"/>
  <c r="V19" i="7"/>
  <c r="U19" i="7"/>
  <c r="T19" i="7"/>
  <c r="S19" i="7"/>
  <c r="P19" i="7"/>
  <c r="O19" i="7"/>
  <c r="N19" i="7"/>
  <c r="M19" i="7"/>
  <c r="L19" i="7"/>
  <c r="K19" i="7"/>
  <c r="J19" i="7"/>
  <c r="I19" i="7"/>
  <c r="H19" i="7"/>
  <c r="G19" i="7"/>
  <c r="F19" i="7"/>
  <c r="E19" i="7"/>
  <c r="D19" i="7"/>
  <c r="C19" i="7"/>
  <c r="B19" i="7"/>
  <c r="Z18" i="7"/>
  <c r="Y18" i="7"/>
  <c r="X18" i="7"/>
  <c r="W18" i="7"/>
  <c r="V18" i="7"/>
  <c r="U18" i="7"/>
  <c r="T18" i="7"/>
  <c r="S18" i="7"/>
  <c r="M18" i="7"/>
  <c r="L18" i="7"/>
  <c r="K18" i="7"/>
  <c r="J18" i="7"/>
  <c r="I18" i="7"/>
  <c r="H18" i="7"/>
  <c r="G18" i="7"/>
  <c r="F18" i="7"/>
  <c r="E18" i="7"/>
  <c r="D18" i="7"/>
  <c r="C18" i="7"/>
  <c r="B18" i="7"/>
  <c r="Z17" i="7"/>
  <c r="Y17" i="7"/>
  <c r="X17" i="7"/>
  <c r="W17" i="7"/>
  <c r="V17" i="7"/>
  <c r="U17" i="7"/>
  <c r="T17" i="7"/>
  <c r="S17" i="7"/>
  <c r="R17" i="7"/>
  <c r="M17" i="7"/>
  <c r="L17" i="7"/>
  <c r="K17" i="7"/>
  <c r="J17" i="7"/>
  <c r="I17" i="7"/>
  <c r="H17" i="7"/>
  <c r="G17" i="7"/>
  <c r="F17" i="7"/>
  <c r="E17" i="7"/>
  <c r="D17" i="7"/>
  <c r="C17" i="7"/>
  <c r="B17" i="7"/>
  <c r="Z16" i="7"/>
  <c r="Y16" i="7"/>
  <c r="X16" i="7"/>
  <c r="W16" i="7"/>
  <c r="V16" i="7"/>
  <c r="U16" i="7"/>
  <c r="T16" i="7"/>
  <c r="S16" i="7"/>
  <c r="R16" i="7"/>
  <c r="M16" i="7"/>
  <c r="L16" i="7"/>
  <c r="K16" i="7"/>
  <c r="J16" i="7"/>
  <c r="I16" i="7"/>
  <c r="H16" i="7"/>
  <c r="G16" i="7"/>
  <c r="F16" i="7"/>
  <c r="E16" i="7"/>
  <c r="D16" i="7"/>
  <c r="C16" i="7"/>
  <c r="B16" i="7"/>
  <c r="Z15" i="7"/>
  <c r="Y15" i="7"/>
  <c r="X15" i="7"/>
  <c r="W15" i="7"/>
  <c r="V15" i="7"/>
  <c r="U15" i="7"/>
  <c r="T15" i="7"/>
  <c r="S15" i="7"/>
  <c r="R15" i="7"/>
  <c r="M15" i="7"/>
  <c r="L15" i="7"/>
  <c r="K15" i="7"/>
  <c r="J15" i="7"/>
  <c r="I15" i="7"/>
  <c r="H15" i="7"/>
  <c r="G15" i="7"/>
  <c r="F15" i="7"/>
  <c r="E15" i="7"/>
  <c r="D15" i="7"/>
  <c r="C15" i="7"/>
  <c r="B15" i="7"/>
  <c r="Z14" i="7"/>
  <c r="Y14" i="7"/>
  <c r="X14" i="7"/>
  <c r="W14" i="7"/>
  <c r="V14" i="7"/>
  <c r="U14" i="7"/>
  <c r="T14" i="7"/>
  <c r="S14" i="7"/>
  <c r="R14" i="7"/>
  <c r="Q14" i="7"/>
  <c r="P14" i="7"/>
  <c r="O14" i="7"/>
  <c r="N14" i="7"/>
  <c r="L14" i="7"/>
  <c r="K14" i="7"/>
  <c r="J14" i="7"/>
  <c r="I14" i="7"/>
  <c r="H14" i="7"/>
  <c r="G14" i="7"/>
  <c r="F14" i="7"/>
  <c r="E14" i="7"/>
  <c r="D14" i="7"/>
  <c r="C14" i="7"/>
  <c r="B14" i="7"/>
  <c r="Z13" i="7"/>
  <c r="Y13" i="7"/>
  <c r="X13" i="7"/>
  <c r="W13" i="7"/>
  <c r="V13" i="7"/>
  <c r="U13" i="7"/>
  <c r="T13" i="7"/>
  <c r="S13" i="7"/>
  <c r="R13" i="7"/>
  <c r="Q13" i="7"/>
  <c r="P13" i="7"/>
  <c r="O13" i="7"/>
  <c r="N13" i="7"/>
  <c r="M13" i="7"/>
  <c r="J13" i="7"/>
  <c r="I13" i="7"/>
  <c r="H13" i="7"/>
  <c r="G13" i="7"/>
  <c r="F13" i="7"/>
  <c r="E13" i="7"/>
  <c r="D13" i="7"/>
  <c r="C13" i="7"/>
  <c r="B13" i="7"/>
  <c r="Z12" i="7"/>
  <c r="Y12" i="7"/>
  <c r="X12" i="7"/>
  <c r="W12" i="7"/>
  <c r="V12" i="7"/>
  <c r="U12" i="7"/>
  <c r="T12" i="7"/>
  <c r="S12" i="7"/>
  <c r="R12" i="7"/>
  <c r="Q12" i="7"/>
  <c r="P12" i="7"/>
  <c r="O12" i="7"/>
  <c r="N12" i="7"/>
  <c r="M12" i="7"/>
  <c r="J12" i="7"/>
  <c r="I12" i="7"/>
  <c r="H12" i="7"/>
  <c r="G12" i="7"/>
  <c r="F12" i="7"/>
  <c r="E12" i="7"/>
  <c r="D12" i="7"/>
  <c r="C12" i="7"/>
  <c r="B12" i="7"/>
  <c r="Z11" i="7"/>
  <c r="Y11" i="7"/>
  <c r="X11" i="7"/>
  <c r="W11" i="7"/>
  <c r="V11" i="7"/>
  <c r="U11" i="7"/>
  <c r="T11" i="7"/>
  <c r="S11" i="7"/>
  <c r="R11" i="7"/>
  <c r="Q11" i="7"/>
  <c r="P11" i="7"/>
  <c r="O11" i="7"/>
  <c r="N11" i="7"/>
  <c r="M11" i="7"/>
  <c r="L11" i="7"/>
  <c r="K11" i="7"/>
  <c r="I11" i="7"/>
  <c r="H11" i="7"/>
  <c r="G11" i="7"/>
  <c r="F11" i="7"/>
  <c r="E11" i="7"/>
  <c r="D11" i="7"/>
  <c r="C11" i="7"/>
  <c r="B11" i="7"/>
  <c r="Z10" i="7"/>
  <c r="Y10" i="7"/>
  <c r="X10" i="7"/>
  <c r="W10" i="7"/>
  <c r="V10" i="7"/>
  <c r="U10" i="7"/>
  <c r="T10" i="7"/>
  <c r="S10" i="7"/>
  <c r="R10" i="7"/>
  <c r="Q10" i="7"/>
  <c r="P10" i="7"/>
  <c r="O10" i="7"/>
  <c r="N10" i="7"/>
  <c r="M10" i="7"/>
  <c r="L10" i="7"/>
  <c r="K10" i="7"/>
  <c r="J10" i="7"/>
  <c r="G10" i="7"/>
  <c r="F10" i="7"/>
  <c r="E10" i="7"/>
  <c r="D10" i="7"/>
  <c r="C10" i="7"/>
  <c r="B10" i="7"/>
  <c r="Z9" i="7"/>
  <c r="Y9" i="7"/>
  <c r="X9" i="7"/>
  <c r="W9" i="7"/>
  <c r="V9" i="7"/>
  <c r="U9" i="7"/>
  <c r="T9" i="7"/>
  <c r="S9" i="7"/>
  <c r="R9" i="7"/>
  <c r="Q9" i="7"/>
  <c r="P9" i="7"/>
  <c r="O9" i="7"/>
  <c r="N9" i="7"/>
  <c r="M9" i="7"/>
  <c r="L9" i="7"/>
  <c r="K9" i="7"/>
  <c r="J9" i="7"/>
  <c r="G9" i="7"/>
  <c r="F9" i="7"/>
  <c r="E9" i="7"/>
  <c r="D9" i="7"/>
  <c r="C9" i="7"/>
  <c r="B9" i="7"/>
  <c r="Z8" i="7"/>
  <c r="Y8" i="7"/>
  <c r="X8" i="7"/>
  <c r="W8" i="7"/>
  <c r="V8" i="7"/>
  <c r="U8" i="7"/>
  <c r="T8" i="7"/>
  <c r="S8" i="7"/>
  <c r="R8" i="7"/>
  <c r="Q8" i="7"/>
  <c r="P8" i="7"/>
  <c r="O8" i="7"/>
  <c r="N8" i="7"/>
  <c r="M8" i="7"/>
  <c r="L8" i="7"/>
  <c r="K8" i="7"/>
  <c r="J8" i="7"/>
  <c r="I8" i="7"/>
  <c r="H8" i="7"/>
  <c r="E8" i="7"/>
  <c r="D8" i="7"/>
  <c r="C8" i="7"/>
  <c r="B8" i="7"/>
  <c r="Z7" i="7"/>
  <c r="Y7" i="7"/>
  <c r="X7" i="7"/>
  <c r="W7" i="7"/>
  <c r="V7" i="7"/>
  <c r="U7" i="7"/>
  <c r="T7" i="7"/>
  <c r="S7" i="7"/>
  <c r="R7" i="7"/>
  <c r="Q7" i="7"/>
  <c r="P7" i="7"/>
  <c r="O7" i="7"/>
  <c r="N7" i="7"/>
  <c r="M7" i="7"/>
  <c r="L7" i="7"/>
  <c r="K7" i="7"/>
  <c r="J7" i="7"/>
  <c r="I7" i="7"/>
  <c r="H7" i="7"/>
  <c r="E7" i="7"/>
  <c r="D7" i="7"/>
  <c r="C7" i="7"/>
  <c r="B7" i="7"/>
  <c r="Z6" i="7"/>
  <c r="Y6" i="7"/>
  <c r="X6" i="7"/>
  <c r="W6" i="7"/>
  <c r="V6" i="7"/>
  <c r="U6" i="7"/>
  <c r="T6" i="7"/>
  <c r="S6" i="7"/>
  <c r="R6" i="7"/>
  <c r="Q6" i="7"/>
  <c r="P6" i="7"/>
  <c r="O6" i="7"/>
  <c r="N6" i="7"/>
  <c r="M6" i="7"/>
  <c r="L6" i="7"/>
  <c r="K6" i="7"/>
  <c r="J6" i="7"/>
  <c r="I6" i="7"/>
  <c r="H6" i="7"/>
  <c r="G6" i="7"/>
  <c r="F6" i="7"/>
  <c r="D6" i="7"/>
  <c r="C6" i="7"/>
  <c r="B6" i="7"/>
  <c r="Z5" i="7"/>
  <c r="Y5" i="7"/>
  <c r="X5" i="7"/>
  <c r="W5" i="7"/>
  <c r="V5" i="7"/>
  <c r="U5" i="7"/>
  <c r="T5" i="7"/>
  <c r="S5" i="7"/>
  <c r="R5" i="7"/>
  <c r="Q5" i="7"/>
  <c r="P5" i="7"/>
  <c r="O5" i="7"/>
  <c r="N5" i="7"/>
  <c r="M5" i="7"/>
  <c r="L5" i="7"/>
  <c r="K5" i="7"/>
  <c r="J5" i="7"/>
  <c r="I5" i="7"/>
  <c r="H5" i="7"/>
  <c r="G5" i="7"/>
  <c r="F5" i="7"/>
  <c r="E5" i="7"/>
  <c r="Z4" i="7"/>
  <c r="Y4" i="7"/>
  <c r="X4" i="7"/>
  <c r="W4" i="7"/>
  <c r="V4" i="7"/>
  <c r="U4" i="7"/>
  <c r="T4" i="7"/>
  <c r="S4" i="7"/>
  <c r="R4" i="7"/>
  <c r="Q4" i="7"/>
  <c r="P4" i="7"/>
  <c r="O4" i="7"/>
  <c r="N4" i="7"/>
  <c r="M4" i="7"/>
  <c r="L4" i="7"/>
  <c r="K4" i="7"/>
  <c r="J4" i="7"/>
  <c r="I4" i="7"/>
  <c r="H4" i="7"/>
  <c r="G4" i="7"/>
  <c r="F4" i="7"/>
  <c r="E4" i="7"/>
  <c r="Z3" i="7"/>
  <c r="Y3" i="7"/>
  <c r="X3" i="7"/>
  <c r="W3" i="7"/>
  <c r="V3" i="7"/>
  <c r="U3" i="7"/>
  <c r="T3" i="7"/>
  <c r="S3" i="7"/>
  <c r="R3" i="7"/>
  <c r="Q3" i="7"/>
  <c r="P3" i="7"/>
  <c r="O3" i="7"/>
  <c r="N3" i="7"/>
  <c r="M3" i="7"/>
  <c r="L3" i="7"/>
  <c r="K3" i="7"/>
  <c r="J3" i="7"/>
  <c r="I3" i="7"/>
  <c r="H3" i="7"/>
  <c r="G3" i="7"/>
  <c r="F3" i="7"/>
  <c r="E3" i="7"/>
  <c r="Z34" i="6"/>
  <c r="Z33" i="6"/>
  <c r="L51" i="6"/>
  <c r="B39" i="6"/>
  <c r="B38" i="6"/>
  <c r="Z36" i="6"/>
  <c r="Y34" i="6"/>
  <c r="Y33" i="6"/>
  <c r="L53" i="6"/>
  <c r="L52" i="6"/>
  <c r="L50" i="6"/>
  <c r="B40" i="6"/>
  <c r="Z38" i="6"/>
  <c r="Z37" i="6"/>
  <c r="X36" i="6"/>
  <c r="X34" i="6"/>
  <c r="X33" i="6"/>
  <c r="M31" i="6"/>
  <c r="M30" i="6"/>
  <c r="M29" i="6"/>
  <c r="K53" i="6"/>
  <c r="K52" i="6"/>
  <c r="K51" i="6"/>
  <c r="K50" i="6"/>
  <c r="K49" i="6"/>
  <c r="Z39" i="6"/>
  <c r="X38" i="6"/>
  <c r="X37" i="6"/>
  <c r="Z35" i="6"/>
  <c r="W34" i="6"/>
  <c r="W33" i="6"/>
  <c r="L31" i="6"/>
  <c r="L30" i="6"/>
  <c r="L29" i="6"/>
  <c r="J53" i="6"/>
  <c r="J52" i="6"/>
  <c r="J51" i="6"/>
  <c r="J50" i="6"/>
  <c r="J49" i="6"/>
  <c r="J48" i="6"/>
  <c r="Y39" i="6"/>
  <c r="Y38" i="6"/>
  <c r="Y37" i="6"/>
  <c r="Y36" i="6"/>
  <c r="Y35" i="6"/>
  <c r="X35" i="6"/>
  <c r="V34" i="6"/>
  <c r="V33" i="6"/>
  <c r="K31" i="6"/>
  <c r="K30" i="6"/>
  <c r="K29" i="6"/>
  <c r="I53" i="6"/>
  <c r="I52" i="6"/>
  <c r="I51" i="6"/>
  <c r="I50" i="6"/>
  <c r="I49" i="6"/>
  <c r="I48" i="6"/>
  <c r="X39" i="6"/>
  <c r="W38" i="6"/>
  <c r="W37" i="6"/>
  <c r="W36" i="6"/>
  <c r="W35" i="6"/>
  <c r="U34" i="6"/>
  <c r="U33" i="6"/>
  <c r="J31" i="6"/>
  <c r="J30" i="6"/>
  <c r="J29" i="6"/>
  <c r="H53" i="6"/>
  <c r="H52" i="6"/>
  <c r="H51" i="6"/>
  <c r="H50" i="6"/>
  <c r="H49" i="6"/>
  <c r="H48" i="6"/>
  <c r="W39" i="6"/>
  <c r="V38" i="6"/>
  <c r="V37" i="6"/>
  <c r="V36" i="6"/>
  <c r="V35" i="6"/>
  <c r="T34" i="6"/>
  <c r="T33" i="6"/>
  <c r="I31" i="6"/>
  <c r="I30" i="6"/>
  <c r="I29" i="6"/>
  <c r="B33" i="6"/>
  <c r="U37" i="6"/>
  <c r="U36" i="6"/>
  <c r="U35" i="6"/>
  <c r="S34" i="6"/>
  <c r="S33" i="6"/>
  <c r="H31" i="6"/>
  <c r="H30" i="6"/>
  <c r="H29" i="6"/>
  <c r="G53" i="6"/>
  <c r="G52" i="6"/>
  <c r="G51" i="6"/>
  <c r="G50" i="6"/>
  <c r="G49" i="6"/>
  <c r="G48" i="6"/>
  <c r="G47" i="6"/>
  <c r="G46" i="6"/>
  <c r="D40" i="6"/>
  <c r="D39" i="6"/>
  <c r="D38" i="6"/>
  <c r="D37" i="6"/>
  <c r="D36" i="6"/>
  <c r="D35" i="6"/>
  <c r="D34" i="6"/>
  <c r="D33" i="6"/>
  <c r="G31" i="6"/>
  <c r="G30" i="6"/>
  <c r="G29" i="6"/>
  <c r="F53" i="6"/>
  <c r="F52" i="6"/>
  <c r="F51" i="6"/>
  <c r="F50" i="6"/>
  <c r="F49" i="6"/>
  <c r="F48" i="6"/>
  <c r="F47" i="6"/>
  <c r="F46" i="6"/>
  <c r="C40" i="6"/>
  <c r="C39" i="6"/>
  <c r="C38" i="6"/>
  <c r="C37" i="6"/>
  <c r="C36" i="6"/>
  <c r="C35" i="6"/>
  <c r="C34" i="6"/>
  <c r="C33" i="6"/>
  <c r="F31" i="6"/>
  <c r="F30" i="6"/>
  <c r="F29" i="6"/>
  <c r="B37" i="6"/>
  <c r="B36" i="6"/>
  <c r="B35" i="6"/>
  <c r="B34" i="6"/>
  <c r="B6" i="6"/>
  <c r="B32" i="6"/>
  <c r="W27" i="8" l="1"/>
  <c r="V27" i="8"/>
  <c r="U27" i="8"/>
  <c r="T27" i="8"/>
  <c r="S27" i="8"/>
  <c r="R27" i="8"/>
  <c r="Q27" i="8"/>
  <c r="P27" i="8"/>
  <c r="O27" i="8"/>
  <c r="N27" i="8"/>
  <c r="M27" i="8"/>
  <c r="L27" i="8"/>
  <c r="K27" i="8"/>
  <c r="J27" i="8"/>
  <c r="I27" i="8"/>
  <c r="H27" i="8"/>
  <c r="G27" i="8"/>
  <c r="F27" i="8"/>
  <c r="E27" i="8"/>
  <c r="D27" i="8"/>
  <c r="C27" i="8"/>
  <c r="B27" i="8"/>
  <c r="W26" i="8"/>
  <c r="V26" i="8"/>
  <c r="U26" i="8"/>
  <c r="T26" i="8"/>
  <c r="S26" i="8"/>
  <c r="R26" i="8"/>
  <c r="Q26" i="8"/>
  <c r="P26" i="8"/>
  <c r="O26" i="8"/>
  <c r="N26" i="8"/>
  <c r="M26" i="8"/>
  <c r="L26" i="8"/>
  <c r="K26" i="8"/>
  <c r="J26" i="8"/>
  <c r="I26" i="8"/>
  <c r="H26" i="8"/>
  <c r="G26" i="8"/>
  <c r="F26" i="8"/>
  <c r="E26" i="8"/>
  <c r="D26" i="8"/>
  <c r="C26" i="8"/>
  <c r="B26" i="8"/>
  <c r="W25" i="8"/>
  <c r="V25" i="8"/>
  <c r="U25" i="8"/>
  <c r="T25" i="8"/>
  <c r="S25" i="8"/>
  <c r="R25" i="8"/>
  <c r="Q25" i="8"/>
  <c r="P25" i="8"/>
  <c r="O25" i="8"/>
  <c r="N25" i="8"/>
  <c r="M25" i="8"/>
  <c r="L25" i="8"/>
  <c r="K25" i="8"/>
  <c r="J25" i="8"/>
  <c r="I25" i="8"/>
  <c r="H25" i="8"/>
  <c r="G25" i="8"/>
  <c r="F25" i="8"/>
  <c r="E25" i="8"/>
  <c r="D25" i="8"/>
  <c r="C25" i="8"/>
  <c r="B25" i="8"/>
  <c r="Z24" i="8"/>
  <c r="Y24" i="8"/>
  <c r="X24" i="8"/>
  <c r="V24" i="8"/>
  <c r="U24" i="8"/>
  <c r="T24" i="8"/>
  <c r="S24" i="8"/>
  <c r="R24" i="8"/>
  <c r="Q24" i="8"/>
  <c r="P24" i="8"/>
  <c r="O24" i="8"/>
  <c r="N24" i="8"/>
  <c r="M24" i="8"/>
  <c r="L24" i="8"/>
  <c r="K24" i="8"/>
  <c r="J24" i="8"/>
  <c r="I24" i="8"/>
  <c r="H24" i="8"/>
  <c r="G24" i="8"/>
  <c r="F24" i="8"/>
  <c r="E24" i="8"/>
  <c r="D24" i="8"/>
  <c r="C24" i="8"/>
  <c r="B24" i="8"/>
  <c r="Z23" i="8"/>
  <c r="Y23" i="8"/>
  <c r="X23" i="8"/>
  <c r="W23" i="8"/>
  <c r="T23" i="8"/>
  <c r="S23" i="8"/>
  <c r="R23" i="8"/>
  <c r="Q23" i="8"/>
  <c r="P23" i="8"/>
  <c r="O23" i="8"/>
  <c r="N23" i="8"/>
  <c r="M23" i="8"/>
  <c r="L23" i="8"/>
  <c r="K23" i="8"/>
  <c r="J23" i="8"/>
  <c r="I23" i="8"/>
  <c r="H23" i="8"/>
  <c r="G23" i="8"/>
  <c r="F23" i="8"/>
  <c r="E23" i="8"/>
  <c r="D23" i="8"/>
  <c r="C23" i="8"/>
  <c r="B23" i="8"/>
  <c r="Z22" i="8"/>
  <c r="Y22" i="8"/>
  <c r="X22" i="8"/>
  <c r="W22" i="8"/>
  <c r="T22" i="8"/>
  <c r="S22" i="8"/>
  <c r="R22" i="8"/>
  <c r="Q22" i="8"/>
  <c r="P22" i="8"/>
  <c r="O22" i="8"/>
  <c r="N22" i="8"/>
  <c r="M22" i="8"/>
  <c r="L22" i="8"/>
  <c r="K22" i="8"/>
  <c r="J22" i="8"/>
  <c r="I22" i="8"/>
  <c r="H22" i="8"/>
  <c r="G22" i="8"/>
  <c r="F22" i="8"/>
  <c r="E22" i="8"/>
  <c r="D22" i="8"/>
  <c r="C22" i="8"/>
  <c r="B22" i="8"/>
  <c r="Z21" i="8"/>
  <c r="Y21" i="8"/>
  <c r="X21" i="8"/>
  <c r="W21" i="8"/>
  <c r="V21" i="8"/>
  <c r="U21" i="8"/>
  <c r="S21" i="8"/>
  <c r="R21" i="8"/>
  <c r="Q21" i="8"/>
  <c r="P21" i="8"/>
  <c r="O21" i="8"/>
  <c r="N21" i="8"/>
  <c r="M21" i="8"/>
  <c r="L21" i="8"/>
  <c r="K21" i="8"/>
  <c r="J21" i="8"/>
  <c r="I21" i="8"/>
  <c r="H21" i="8"/>
  <c r="G21" i="8"/>
  <c r="F21" i="8"/>
  <c r="E21" i="8"/>
  <c r="D21" i="8"/>
  <c r="C21" i="8"/>
  <c r="B21" i="8"/>
  <c r="Z20" i="8"/>
  <c r="Y20" i="8"/>
  <c r="X20" i="8"/>
  <c r="W20" i="8"/>
  <c r="V20" i="8"/>
  <c r="U20" i="8"/>
  <c r="T20" i="8"/>
  <c r="R20" i="8"/>
  <c r="Q20" i="8"/>
  <c r="P20" i="8"/>
  <c r="O20" i="8"/>
  <c r="N20" i="8"/>
  <c r="M20" i="8"/>
  <c r="L20" i="8"/>
  <c r="K20" i="8"/>
  <c r="J20" i="8"/>
  <c r="I20" i="8"/>
  <c r="H20" i="8"/>
  <c r="G20" i="8"/>
  <c r="F20" i="8"/>
  <c r="E20" i="8"/>
  <c r="D20" i="8"/>
  <c r="C20" i="8"/>
  <c r="B20" i="8"/>
  <c r="Z19" i="8"/>
  <c r="Y19" i="8"/>
  <c r="X19" i="8"/>
  <c r="W19" i="8"/>
  <c r="V19" i="8"/>
  <c r="U19" i="8"/>
  <c r="T19" i="8"/>
  <c r="S19" i="8"/>
  <c r="P19" i="8"/>
  <c r="O19" i="8"/>
  <c r="N19" i="8"/>
  <c r="M19" i="8"/>
  <c r="L19" i="8"/>
  <c r="K19" i="8"/>
  <c r="J19" i="8"/>
  <c r="I19" i="8"/>
  <c r="H19" i="8"/>
  <c r="G19" i="8"/>
  <c r="F19" i="8"/>
  <c r="E19" i="8"/>
  <c r="D19" i="8"/>
  <c r="C19" i="8"/>
  <c r="B19" i="8"/>
  <c r="Z18" i="8"/>
  <c r="Y18" i="8"/>
  <c r="X18" i="8"/>
  <c r="W18" i="8"/>
  <c r="V18" i="8"/>
  <c r="U18" i="8"/>
  <c r="T18" i="8"/>
  <c r="S18" i="8"/>
  <c r="M18" i="8"/>
  <c r="L18" i="8"/>
  <c r="K18" i="8"/>
  <c r="J18" i="8"/>
  <c r="I18" i="8"/>
  <c r="H18" i="8"/>
  <c r="G18" i="8"/>
  <c r="F18" i="8"/>
  <c r="E18" i="8"/>
  <c r="D18" i="8"/>
  <c r="C18" i="8"/>
  <c r="B18" i="8"/>
  <c r="Z17" i="8"/>
  <c r="Y17" i="8"/>
  <c r="W17" i="8"/>
  <c r="V17" i="8"/>
  <c r="U17" i="8"/>
  <c r="T17" i="8"/>
  <c r="S17" i="8"/>
  <c r="R17" i="8"/>
  <c r="M17" i="8"/>
  <c r="L17" i="8"/>
  <c r="K17" i="8"/>
  <c r="J17" i="8"/>
  <c r="I17" i="8"/>
  <c r="H17" i="8"/>
  <c r="G17" i="8"/>
  <c r="F17" i="8"/>
  <c r="E17" i="8"/>
  <c r="D17" i="8"/>
  <c r="C17" i="8"/>
  <c r="B17" i="8"/>
  <c r="Z16" i="8"/>
  <c r="Y16" i="8"/>
  <c r="W16" i="8"/>
  <c r="V16" i="8"/>
  <c r="U16" i="8"/>
  <c r="T16" i="8"/>
  <c r="S16" i="8"/>
  <c r="R16" i="8"/>
  <c r="M16" i="8"/>
  <c r="L16" i="8"/>
  <c r="K16" i="8"/>
  <c r="J16" i="8"/>
  <c r="I16" i="8"/>
  <c r="H16" i="8"/>
  <c r="G16" i="8"/>
  <c r="F16" i="8"/>
  <c r="E16" i="8"/>
  <c r="D16" i="8"/>
  <c r="C16" i="8"/>
  <c r="B16" i="8"/>
  <c r="Z15" i="8"/>
  <c r="Y15" i="8"/>
  <c r="W15" i="8"/>
  <c r="V15" i="8"/>
  <c r="U15" i="8"/>
  <c r="T15" i="8"/>
  <c r="S15" i="8"/>
  <c r="R15" i="8"/>
  <c r="M15" i="8"/>
  <c r="L15" i="8"/>
  <c r="K15" i="8"/>
  <c r="J15" i="8"/>
  <c r="I15" i="8"/>
  <c r="H15" i="8"/>
  <c r="G15" i="8"/>
  <c r="F15" i="8"/>
  <c r="E15" i="8"/>
  <c r="D15" i="8"/>
  <c r="C15" i="8"/>
  <c r="B15" i="8"/>
  <c r="Z14" i="8"/>
  <c r="Y14" i="8"/>
  <c r="X14" i="8"/>
  <c r="W14" i="8"/>
  <c r="V14" i="8"/>
  <c r="U14" i="8"/>
  <c r="T14" i="8"/>
  <c r="S14" i="8"/>
  <c r="R14" i="8"/>
  <c r="Q14" i="8"/>
  <c r="P14" i="8"/>
  <c r="O14" i="8"/>
  <c r="N14" i="8"/>
  <c r="L14" i="8"/>
  <c r="K14" i="8"/>
  <c r="J14" i="8"/>
  <c r="I14" i="8"/>
  <c r="H14" i="8"/>
  <c r="G14" i="8"/>
  <c r="F14" i="8"/>
  <c r="E14" i="8"/>
  <c r="D14" i="8"/>
  <c r="C14" i="8"/>
  <c r="B14" i="8"/>
  <c r="Z13" i="8"/>
  <c r="Y13" i="8"/>
  <c r="X13" i="8"/>
  <c r="W13" i="8"/>
  <c r="V13" i="8"/>
  <c r="U13" i="8"/>
  <c r="T13" i="8"/>
  <c r="S13" i="8"/>
  <c r="R13" i="8"/>
  <c r="Q13" i="8"/>
  <c r="P13" i="8"/>
  <c r="O13" i="8"/>
  <c r="N13" i="8"/>
  <c r="M13" i="8"/>
  <c r="J13" i="8"/>
  <c r="I13" i="8"/>
  <c r="H13" i="8"/>
  <c r="G13" i="8"/>
  <c r="F13" i="8"/>
  <c r="E13" i="8"/>
  <c r="D13" i="8"/>
  <c r="C13" i="8"/>
  <c r="B13" i="8"/>
  <c r="Z12" i="8"/>
  <c r="Y12" i="8"/>
  <c r="X12" i="8"/>
  <c r="W12" i="8"/>
  <c r="V12" i="8"/>
  <c r="U12" i="8"/>
  <c r="T12" i="8"/>
  <c r="S12" i="8"/>
  <c r="R12" i="8"/>
  <c r="Q12" i="8"/>
  <c r="P12" i="8"/>
  <c r="O12" i="8"/>
  <c r="N12" i="8"/>
  <c r="M12" i="8"/>
  <c r="J12" i="8"/>
  <c r="I12" i="8"/>
  <c r="H12" i="8"/>
  <c r="G12" i="8"/>
  <c r="F12" i="8"/>
  <c r="E12" i="8"/>
  <c r="D12" i="8"/>
  <c r="C12" i="8"/>
  <c r="B12" i="8"/>
  <c r="Z11" i="8"/>
  <c r="Y11" i="8"/>
  <c r="X11" i="8"/>
  <c r="W11" i="8"/>
  <c r="V11" i="8"/>
  <c r="U11" i="8"/>
  <c r="T11" i="8"/>
  <c r="S11" i="8"/>
  <c r="R11" i="8"/>
  <c r="Q11" i="8"/>
  <c r="P11" i="8"/>
  <c r="O11" i="8"/>
  <c r="N11" i="8"/>
  <c r="M11" i="8"/>
  <c r="L11" i="8"/>
  <c r="K11" i="8"/>
  <c r="I11" i="8"/>
  <c r="H11" i="8"/>
  <c r="G11" i="8"/>
  <c r="F11" i="8"/>
  <c r="E11" i="8"/>
  <c r="D11" i="8"/>
  <c r="C11" i="8"/>
  <c r="B11" i="8"/>
  <c r="Z10" i="8"/>
  <c r="Y10" i="8"/>
  <c r="X10" i="8"/>
  <c r="W10" i="8"/>
  <c r="V10" i="8"/>
  <c r="U10" i="8"/>
  <c r="T10" i="8"/>
  <c r="S10" i="8"/>
  <c r="R10" i="8"/>
  <c r="Q10" i="8"/>
  <c r="P10" i="8"/>
  <c r="O10" i="8"/>
  <c r="N10" i="8"/>
  <c r="M10" i="8"/>
  <c r="L10" i="8"/>
  <c r="K10" i="8"/>
  <c r="J10" i="8"/>
  <c r="G10" i="8"/>
  <c r="F10" i="8"/>
  <c r="E10" i="8"/>
  <c r="D10" i="8"/>
  <c r="C10" i="8"/>
  <c r="B10" i="8"/>
  <c r="Z9" i="8"/>
  <c r="Y9" i="8"/>
  <c r="X9" i="8"/>
  <c r="W9" i="8"/>
  <c r="V9" i="8"/>
  <c r="U9" i="8"/>
  <c r="T9" i="8"/>
  <c r="S9" i="8"/>
  <c r="R9" i="8"/>
  <c r="Q9" i="8"/>
  <c r="P9" i="8"/>
  <c r="O9" i="8"/>
  <c r="N9" i="8"/>
  <c r="M9" i="8"/>
  <c r="L9" i="8"/>
  <c r="K9" i="8"/>
  <c r="J9" i="8"/>
  <c r="E9" i="8"/>
  <c r="D9" i="8"/>
  <c r="C9" i="8"/>
  <c r="B9" i="8"/>
  <c r="Z8" i="8"/>
  <c r="Y8" i="8"/>
  <c r="X8" i="8"/>
  <c r="W8" i="8"/>
  <c r="V8" i="8"/>
  <c r="U8" i="8"/>
  <c r="T8" i="8"/>
  <c r="S8" i="8"/>
  <c r="R8" i="8"/>
  <c r="Q8" i="8"/>
  <c r="P8" i="8"/>
  <c r="O8" i="8"/>
  <c r="N8" i="8"/>
  <c r="M8" i="8"/>
  <c r="L8" i="8"/>
  <c r="K8" i="8"/>
  <c r="J8" i="8"/>
  <c r="I8" i="8"/>
  <c r="E8" i="8"/>
  <c r="D8" i="8"/>
  <c r="C8" i="8"/>
  <c r="B8" i="8"/>
  <c r="Z7" i="8"/>
  <c r="Y7" i="8"/>
  <c r="X7" i="8"/>
  <c r="W7" i="8"/>
  <c r="V7" i="8"/>
  <c r="U7" i="8"/>
  <c r="T7" i="8"/>
  <c r="S7" i="8"/>
  <c r="R7" i="8"/>
  <c r="Q7" i="8"/>
  <c r="P7" i="8"/>
  <c r="O7" i="8"/>
  <c r="N7" i="8"/>
  <c r="M7" i="8"/>
  <c r="L7" i="8"/>
  <c r="K7" i="8"/>
  <c r="J7" i="8"/>
  <c r="I7" i="8"/>
  <c r="E7" i="8"/>
  <c r="D7" i="8"/>
  <c r="C7" i="8"/>
  <c r="B7" i="8"/>
  <c r="Z6" i="8"/>
  <c r="Y6" i="8"/>
  <c r="X6" i="8"/>
  <c r="W6" i="8"/>
  <c r="V6" i="8"/>
  <c r="U6" i="8"/>
  <c r="T6" i="8"/>
  <c r="S6" i="8"/>
  <c r="R6" i="8"/>
  <c r="Q6" i="8"/>
  <c r="P6" i="8"/>
  <c r="O6" i="8"/>
  <c r="N6" i="8"/>
  <c r="M6" i="8"/>
  <c r="L6" i="8"/>
  <c r="K6" i="8"/>
  <c r="J6" i="8"/>
  <c r="I6" i="8"/>
  <c r="H6" i="8"/>
  <c r="G6" i="8"/>
  <c r="F6" i="8"/>
  <c r="D6" i="8"/>
  <c r="C6" i="8"/>
  <c r="B6" i="8"/>
  <c r="Z5" i="8"/>
  <c r="Y5" i="8"/>
  <c r="X5" i="8"/>
  <c r="W5" i="8"/>
  <c r="V5" i="8"/>
  <c r="U5" i="8"/>
  <c r="T5" i="8"/>
  <c r="S5" i="8"/>
  <c r="R5" i="8"/>
  <c r="Q5" i="8"/>
  <c r="P5" i="8"/>
  <c r="O5" i="8"/>
  <c r="N5" i="8"/>
  <c r="M5" i="8"/>
  <c r="L5" i="8"/>
  <c r="K5" i="8"/>
  <c r="J5" i="8"/>
  <c r="I5" i="8"/>
  <c r="H5" i="8"/>
  <c r="G5" i="8"/>
  <c r="F5" i="8"/>
  <c r="E5" i="8"/>
  <c r="Z4" i="8"/>
  <c r="Y4" i="8"/>
  <c r="X4" i="8"/>
  <c r="W4" i="8"/>
  <c r="V4" i="8"/>
  <c r="U4" i="8"/>
  <c r="T4" i="8"/>
  <c r="S4" i="8"/>
  <c r="R4" i="8"/>
  <c r="Q4" i="8"/>
  <c r="P4" i="8"/>
  <c r="O4" i="8"/>
  <c r="N4" i="8"/>
  <c r="M4" i="8"/>
  <c r="L4" i="8"/>
  <c r="K4" i="8"/>
  <c r="J4" i="8"/>
  <c r="I4" i="8"/>
  <c r="H4" i="8"/>
  <c r="G4" i="8"/>
  <c r="F4" i="8"/>
  <c r="E4" i="8"/>
  <c r="Z3" i="8"/>
  <c r="Y3" i="8"/>
  <c r="X3" i="8"/>
  <c r="W3" i="8"/>
  <c r="V3" i="8"/>
  <c r="U3" i="8"/>
  <c r="T3" i="8"/>
  <c r="S3" i="8"/>
  <c r="R3" i="8"/>
  <c r="Q3" i="8"/>
  <c r="P3" i="8"/>
  <c r="O3" i="8"/>
  <c r="N3" i="8"/>
  <c r="M3" i="8"/>
  <c r="L3" i="8"/>
  <c r="K3" i="8"/>
  <c r="J3" i="8"/>
  <c r="I3" i="8"/>
  <c r="H3" i="8"/>
  <c r="G3" i="8"/>
  <c r="F3" i="8"/>
  <c r="E3" i="8"/>
  <c r="N46" i="6" l="1"/>
  <c r="C42" i="6"/>
  <c r="D42" i="6"/>
  <c r="E42" i="6"/>
  <c r="C43" i="6"/>
  <c r="D43" i="6"/>
  <c r="E43" i="6"/>
  <c r="E41" i="6"/>
  <c r="D41" i="6"/>
  <c r="C41" i="6"/>
  <c r="B43" i="6"/>
  <c r="B42" i="6"/>
  <c r="B41" i="6"/>
  <c r="P29" i="6"/>
  <c r="O29" i="6"/>
  <c r="N29" i="6"/>
  <c r="O30" i="6"/>
  <c r="P30" i="6"/>
  <c r="N30" i="6"/>
  <c r="O31" i="6"/>
  <c r="P31" i="6"/>
  <c r="N31" i="6"/>
  <c r="O32" i="6"/>
  <c r="P32" i="6"/>
  <c r="N32" i="6"/>
  <c r="F43" i="6"/>
  <c r="F42" i="6"/>
  <c r="F41" i="6"/>
  <c r="G41" i="6"/>
  <c r="H41" i="6"/>
  <c r="I41" i="6"/>
  <c r="O33" i="6"/>
  <c r="P33" i="6"/>
  <c r="N33" i="6"/>
  <c r="G43" i="6"/>
  <c r="G42" i="6"/>
  <c r="O34" i="6"/>
  <c r="P34" i="6"/>
  <c r="N34" i="6"/>
  <c r="M43" i="6"/>
  <c r="M42" i="6"/>
  <c r="M41" i="6"/>
  <c r="O40" i="6"/>
  <c r="P40" i="6"/>
  <c r="N40" i="6"/>
  <c r="L43" i="6"/>
  <c r="L42" i="6"/>
  <c r="L41" i="6"/>
  <c r="O39" i="6"/>
  <c r="P39" i="6"/>
  <c r="N39" i="6"/>
  <c r="K43" i="6"/>
  <c r="K42" i="6"/>
  <c r="K41" i="6"/>
  <c r="O38" i="6"/>
  <c r="P38" i="6"/>
  <c r="N38" i="6"/>
  <c r="J43" i="6"/>
  <c r="J42" i="6"/>
  <c r="J41" i="6"/>
  <c r="O37" i="6"/>
  <c r="P37" i="6"/>
  <c r="N37" i="6"/>
  <c r="I43" i="6"/>
  <c r="I42" i="6"/>
  <c r="N36" i="6"/>
  <c r="P36" i="6"/>
  <c r="O36" i="6"/>
  <c r="N35" i="6"/>
  <c r="P35" i="6"/>
  <c r="H43" i="6"/>
  <c r="H42" i="6"/>
  <c r="O35" i="6"/>
  <c r="T49" i="6" l="1"/>
  <c r="S49" i="6"/>
  <c r="R49" i="6"/>
  <c r="Q49" i="6"/>
  <c r="P49" i="6"/>
  <c r="O49" i="6"/>
  <c r="N49" i="6"/>
  <c r="M49" i="6"/>
  <c r="L49" i="6"/>
  <c r="E49" i="6"/>
  <c r="D49" i="6"/>
  <c r="C49" i="6"/>
  <c r="B49" i="6"/>
  <c r="B50" i="6"/>
  <c r="B51" i="6"/>
  <c r="B52" i="6"/>
  <c r="B53" i="6"/>
  <c r="V50" i="6"/>
  <c r="U50" i="6"/>
  <c r="T50" i="6"/>
  <c r="S50" i="6"/>
  <c r="R50" i="6"/>
  <c r="Q50" i="6"/>
  <c r="P50" i="6"/>
  <c r="O50" i="6"/>
  <c r="N50" i="6"/>
  <c r="M50" i="6"/>
  <c r="E50" i="6"/>
  <c r="D50" i="6"/>
  <c r="C50" i="6"/>
  <c r="W51" i="6"/>
  <c r="V51" i="6"/>
  <c r="U51" i="6"/>
  <c r="T51" i="6"/>
  <c r="S51" i="6"/>
  <c r="R51" i="6"/>
  <c r="Q51" i="6"/>
  <c r="P51" i="6"/>
  <c r="O51" i="6"/>
  <c r="N51" i="6"/>
  <c r="M51" i="6"/>
  <c r="E51" i="6"/>
  <c r="D51" i="6"/>
  <c r="C51" i="6"/>
  <c r="W52" i="6"/>
  <c r="V52" i="6"/>
  <c r="U52" i="6"/>
  <c r="T52" i="6"/>
  <c r="S52" i="6"/>
  <c r="R52" i="6"/>
  <c r="Q52" i="6"/>
  <c r="P52" i="6"/>
  <c r="O52" i="6"/>
  <c r="N52" i="6"/>
  <c r="M52" i="6"/>
  <c r="E52" i="6"/>
  <c r="D52" i="6"/>
  <c r="C52" i="6"/>
  <c r="W53" i="6"/>
  <c r="V53" i="6"/>
  <c r="U53" i="6"/>
  <c r="T53" i="6"/>
  <c r="S53" i="6"/>
  <c r="R53" i="6"/>
  <c r="Q53" i="6"/>
  <c r="P53" i="6"/>
  <c r="O53" i="6"/>
  <c r="N53" i="6"/>
  <c r="M53" i="6"/>
  <c r="E53" i="6"/>
  <c r="D53" i="6"/>
  <c r="C53" i="6"/>
  <c r="Z47" i="6"/>
  <c r="Z46" i="6"/>
  <c r="Z45" i="6"/>
  <c r="Y47" i="6"/>
  <c r="Y46" i="6"/>
  <c r="Y45" i="6"/>
  <c r="Z44" i="6"/>
  <c r="Y44" i="6"/>
  <c r="Y43" i="6"/>
  <c r="Z43" i="6"/>
  <c r="Z42" i="6"/>
  <c r="Y42" i="6"/>
  <c r="Z41" i="6"/>
  <c r="Y41" i="6"/>
  <c r="Z40" i="6"/>
  <c r="Y40" i="6"/>
  <c r="Z32" i="6"/>
  <c r="Y32" i="6"/>
  <c r="X32" i="6"/>
  <c r="W32" i="6"/>
  <c r="Z31" i="6"/>
  <c r="Y31" i="6"/>
  <c r="X31" i="6"/>
  <c r="W31" i="6"/>
  <c r="Z30" i="6"/>
  <c r="Y30" i="6"/>
  <c r="X30" i="6"/>
  <c r="W30" i="6"/>
  <c r="Z29" i="6"/>
  <c r="Y29" i="6"/>
  <c r="X29" i="6"/>
  <c r="W29" i="6"/>
  <c r="C7" i="6" l="1"/>
  <c r="D16" i="5"/>
  <c r="H16" i="5" s="1"/>
  <c r="Z50" i="6"/>
  <c r="Y50" i="6"/>
  <c r="X50" i="6"/>
  <c r="Z49" i="6"/>
  <c r="Y49" i="6"/>
  <c r="X49" i="6"/>
  <c r="W49" i="6"/>
  <c r="Z48" i="6"/>
  <c r="Y48" i="6"/>
  <c r="X48" i="6"/>
  <c r="W48" i="6"/>
  <c r="X47" i="6"/>
  <c r="W47" i="6"/>
  <c r="V47" i="6"/>
  <c r="U47" i="6"/>
  <c r="X46" i="6"/>
  <c r="W46" i="6"/>
  <c r="V46" i="6"/>
  <c r="U46" i="6"/>
  <c r="T46" i="6"/>
  <c r="X45" i="6"/>
  <c r="W45" i="6"/>
  <c r="V45" i="6"/>
  <c r="U45" i="6"/>
  <c r="T45" i="6"/>
  <c r="S45" i="6"/>
  <c r="X44" i="6"/>
  <c r="W44" i="6"/>
  <c r="V44" i="6"/>
  <c r="U44" i="6"/>
  <c r="T44" i="6"/>
  <c r="S44" i="6"/>
  <c r="X43" i="6"/>
  <c r="W43" i="6"/>
  <c r="V43" i="6"/>
  <c r="U43" i="6"/>
  <c r="T43" i="6"/>
  <c r="S43" i="6"/>
  <c r="R43" i="6"/>
  <c r="X42" i="6"/>
  <c r="W42" i="6"/>
  <c r="V42" i="6"/>
  <c r="U42" i="6"/>
  <c r="T42" i="6"/>
  <c r="S42" i="6"/>
  <c r="R42" i="6"/>
  <c r="X41" i="6"/>
  <c r="W41" i="6"/>
  <c r="V41" i="6"/>
  <c r="U41" i="6"/>
  <c r="T41" i="6"/>
  <c r="S41" i="6"/>
  <c r="R41" i="6"/>
  <c r="X40" i="6"/>
  <c r="W40" i="6"/>
  <c r="V40" i="6"/>
  <c r="U40" i="6"/>
  <c r="T40" i="6"/>
  <c r="S40" i="6"/>
  <c r="R40" i="6"/>
  <c r="Q40" i="6"/>
  <c r="V39" i="6"/>
  <c r="U39" i="6"/>
  <c r="T39" i="6"/>
  <c r="S39" i="6"/>
  <c r="R39" i="6"/>
  <c r="Q39" i="6"/>
  <c r="M39" i="6"/>
  <c r="U38" i="6"/>
  <c r="T38" i="6"/>
  <c r="S38" i="6"/>
  <c r="R38" i="6"/>
  <c r="Q38" i="6"/>
  <c r="M38" i="6"/>
  <c r="T37" i="6"/>
  <c r="S37" i="6"/>
  <c r="R37" i="6"/>
  <c r="Q37" i="6"/>
  <c r="M37" i="6"/>
  <c r="L37" i="6"/>
  <c r="K37" i="6"/>
  <c r="T36" i="6"/>
  <c r="S36" i="6"/>
  <c r="R36" i="6"/>
  <c r="Q36" i="6"/>
  <c r="M36" i="6"/>
  <c r="L36" i="6"/>
  <c r="K36" i="6"/>
  <c r="J36" i="6"/>
  <c r="T35" i="6"/>
  <c r="S35" i="6"/>
  <c r="R35" i="6"/>
  <c r="Q35" i="6"/>
  <c r="M35" i="6"/>
  <c r="L35" i="6"/>
  <c r="K35" i="6"/>
  <c r="J35" i="6"/>
  <c r="R34" i="6"/>
  <c r="Q34" i="6"/>
  <c r="M34" i="6"/>
  <c r="L34" i="6"/>
  <c r="K34" i="6"/>
  <c r="J34" i="6"/>
  <c r="I34" i="6"/>
  <c r="H34" i="6"/>
  <c r="R33" i="6"/>
  <c r="Q33" i="6"/>
  <c r="M33" i="6"/>
  <c r="L33" i="6"/>
  <c r="K33" i="6"/>
  <c r="J33" i="6"/>
  <c r="I33" i="6"/>
  <c r="H33" i="6"/>
  <c r="V32" i="6"/>
  <c r="U32" i="6"/>
  <c r="T32" i="6"/>
  <c r="S32" i="6"/>
  <c r="R32" i="6"/>
  <c r="Q32" i="6"/>
  <c r="M32" i="6"/>
  <c r="L32" i="6"/>
  <c r="K32" i="6"/>
  <c r="J32" i="6"/>
  <c r="I32" i="6"/>
  <c r="H32" i="6"/>
  <c r="G32" i="6"/>
  <c r="F32" i="6"/>
  <c r="V31" i="6"/>
  <c r="U31" i="6"/>
  <c r="T31" i="6"/>
  <c r="S31" i="6"/>
  <c r="R31" i="6"/>
  <c r="Q31" i="6"/>
  <c r="E31" i="6"/>
  <c r="E33" i="6"/>
  <c r="E34" i="6"/>
  <c r="E35" i="6"/>
  <c r="E36" i="6"/>
  <c r="E37" i="6"/>
  <c r="E38" i="6"/>
  <c r="E39" i="6"/>
  <c r="E40" i="6"/>
  <c r="E44" i="6"/>
  <c r="E45" i="6"/>
  <c r="E46" i="6"/>
  <c r="E47" i="6"/>
  <c r="E48" i="6"/>
  <c r="V30" i="6"/>
  <c r="U30" i="6"/>
  <c r="T30" i="6"/>
  <c r="S30" i="6"/>
  <c r="R30" i="6"/>
  <c r="Q30" i="6"/>
  <c r="E30" i="6"/>
  <c r="V29" i="6"/>
  <c r="U29" i="6"/>
  <c r="T29" i="6"/>
  <c r="S29" i="6"/>
  <c r="R29" i="6"/>
  <c r="Q29" i="6"/>
  <c r="E29" i="6"/>
  <c r="K23" i="6"/>
  <c r="L23" i="6"/>
  <c r="M23" i="6"/>
  <c r="N23" i="6"/>
  <c r="O23" i="6"/>
  <c r="P23" i="6"/>
  <c r="Q23" i="6"/>
  <c r="R23" i="6"/>
  <c r="S23" i="6"/>
  <c r="T23" i="6"/>
  <c r="U23" i="6"/>
  <c r="V23" i="6"/>
  <c r="J23" i="6"/>
  <c r="I23" i="6"/>
  <c r="H23" i="6"/>
  <c r="E23" i="6"/>
  <c r="R48" i="6"/>
  <c r="Q48" i="6"/>
  <c r="O48" i="6"/>
  <c r="P48" i="6"/>
  <c r="N48" i="6"/>
  <c r="M48" i="6"/>
  <c r="L48" i="6"/>
  <c r="K48" i="6"/>
  <c r="H47" i="6"/>
  <c r="C48" i="6"/>
  <c r="B48" i="6"/>
  <c r="S47" i="6"/>
  <c r="R47" i="6"/>
  <c r="Q47" i="6"/>
  <c r="P47" i="6"/>
  <c r="O47" i="6"/>
  <c r="N47" i="6"/>
  <c r="M47" i="6"/>
  <c r="L47" i="6"/>
  <c r="K47" i="6"/>
  <c r="J47" i="6"/>
  <c r="I47" i="6"/>
  <c r="D47" i="6"/>
  <c r="C47" i="6"/>
  <c r="B47" i="6"/>
  <c r="M46" i="6"/>
  <c r="R46" i="6"/>
  <c r="Q46" i="6"/>
  <c r="O46" i="6"/>
  <c r="P46" i="6"/>
  <c r="L46" i="6"/>
  <c r="K46" i="6"/>
  <c r="J46" i="6"/>
  <c r="I46" i="6"/>
  <c r="H46" i="6"/>
  <c r="F19" i="6"/>
  <c r="E19" i="6"/>
  <c r="B46" i="6"/>
  <c r="O45" i="6"/>
  <c r="P45" i="6"/>
  <c r="N45" i="6"/>
  <c r="M45" i="6"/>
  <c r="L45" i="6"/>
  <c r="K45" i="6"/>
  <c r="J45" i="6"/>
  <c r="I45" i="6"/>
  <c r="H45" i="6"/>
  <c r="G45" i="6"/>
  <c r="F45" i="6"/>
  <c r="C45" i="6"/>
  <c r="B45" i="6"/>
  <c r="M44" i="6"/>
  <c r="L44" i="6"/>
  <c r="K44" i="6"/>
  <c r="J44" i="6"/>
  <c r="I44" i="6"/>
  <c r="H44" i="6"/>
  <c r="G44" i="6"/>
  <c r="F44" i="6"/>
  <c r="D44" i="6"/>
  <c r="C44" i="6"/>
  <c r="B44" i="6"/>
  <c r="F16" i="5" l="1"/>
  <c r="B15" i="6"/>
  <c r="B17" i="6"/>
  <c r="B16" i="6"/>
  <c r="B14" i="6"/>
  <c r="L40" i="6"/>
  <c r="K40" i="6"/>
  <c r="J40" i="6"/>
  <c r="I40" i="6"/>
  <c r="H40" i="6"/>
  <c r="G40" i="6"/>
  <c r="F40" i="6"/>
  <c r="J39" i="6"/>
  <c r="I39" i="6"/>
  <c r="H39" i="6"/>
  <c r="G39" i="6"/>
  <c r="F39" i="6"/>
  <c r="J38" i="6"/>
  <c r="I38" i="6"/>
  <c r="H38" i="6"/>
  <c r="F38" i="6"/>
  <c r="I37" i="6"/>
  <c r="H37" i="6"/>
  <c r="G37" i="6"/>
  <c r="F37" i="6"/>
  <c r="G36" i="6"/>
  <c r="F36" i="6"/>
  <c r="G35" i="6"/>
  <c r="F35" i="6"/>
  <c r="B8" i="6"/>
  <c r="B7" i="6"/>
  <c r="D7" i="6"/>
  <c r="D6" i="6"/>
  <c r="C6" i="6"/>
  <c r="T48" i="6" l="1"/>
  <c r="S48" i="6"/>
  <c r="D48" i="6"/>
  <c r="D46" i="6"/>
  <c r="C46" i="6"/>
  <c r="D45" i="6"/>
  <c r="G38" i="6"/>
  <c r="D32" i="6"/>
  <c r="C32" i="6"/>
  <c r="Z23" i="6"/>
  <c r="Y23" i="6"/>
  <c r="W26" i="6"/>
  <c r="W25" i="6"/>
  <c r="X23" i="6"/>
  <c r="W24" i="6"/>
  <c r="Z20" i="6"/>
  <c r="Y20" i="6"/>
  <c r="X20" i="6"/>
  <c r="W20" i="6"/>
  <c r="T26" i="6"/>
  <c r="T25" i="6"/>
  <c r="T24" i="6"/>
  <c r="Z18" i="6"/>
  <c r="Y18" i="6"/>
  <c r="X18" i="6"/>
  <c r="W18" i="6"/>
  <c r="R26" i="6"/>
  <c r="R25" i="6"/>
  <c r="R24" i="6"/>
  <c r="T18" i="6"/>
  <c r="R20" i="6"/>
  <c r="Z13" i="6"/>
  <c r="Y13" i="6"/>
  <c r="X13" i="6"/>
  <c r="W13" i="6"/>
  <c r="M26" i="6"/>
  <c r="M25" i="6"/>
  <c r="M24" i="6"/>
  <c r="T13" i="6"/>
  <c r="M20" i="6"/>
  <c r="R13" i="6"/>
  <c r="M18" i="6"/>
  <c r="Z11" i="6"/>
  <c r="Y11" i="6"/>
  <c r="X11" i="6"/>
  <c r="W11" i="6"/>
  <c r="V11" i="6"/>
  <c r="U11" i="6"/>
  <c r="T11" i="6"/>
  <c r="S11" i="6"/>
  <c r="R11" i="6"/>
  <c r="Q11" i="6"/>
  <c r="P11" i="6"/>
  <c r="O11" i="6"/>
  <c r="N11" i="6"/>
  <c r="M11" i="6"/>
  <c r="Z10" i="6"/>
  <c r="Y10" i="6"/>
  <c r="X10" i="6"/>
  <c r="W10" i="6"/>
  <c r="V10" i="6"/>
  <c r="U10" i="6"/>
  <c r="T10" i="6"/>
  <c r="S10" i="6"/>
  <c r="R10" i="6"/>
  <c r="Q10" i="6"/>
  <c r="K21" i="6"/>
  <c r="K20" i="6"/>
  <c r="K19" i="6"/>
  <c r="K18" i="6"/>
  <c r="K17" i="6"/>
  <c r="K16" i="6"/>
  <c r="K15" i="6"/>
  <c r="K14" i="6"/>
  <c r="K13" i="6"/>
  <c r="K26" i="6"/>
  <c r="K25" i="6"/>
  <c r="K24" i="6"/>
  <c r="J26" i="6"/>
  <c r="J25" i="6"/>
  <c r="J24" i="6"/>
  <c r="J22" i="6"/>
  <c r="K22" i="6"/>
  <c r="J21" i="6"/>
  <c r="J20" i="6"/>
  <c r="J19" i="6"/>
  <c r="J18" i="6"/>
  <c r="J17" i="6"/>
  <c r="P10" i="6"/>
  <c r="O10" i="6"/>
  <c r="N10" i="6"/>
  <c r="J16" i="6"/>
  <c r="J15" i="6"/>
  <c r="J14" i="6"/>
  <c r="M10" i="6"/>
  <c r="J13" i="6"/>
  <c r="L10" i="6"/>
  <c r="J12" i="6"/>
  <c r="K10" i="6"/>
  <c r="J11" i="6"/>
  <c r="Z9" i="6"/>
  <c r="Y9" i="6"/>
  <c r="X9" i="6"/>
  <c r="W9" i="6"/>
  <c r="I26" i="6"/>
  <c r="I25" i="6"/>
  <c r="I24" i="6"/>
  <c r="T9" i="6"/>
  <c r="I20" i="6"/>
  <c r="R9" i="6"/>
  <c r="I18" i="6"/>
  <c r="M9" i="6"/>
  <c r="I13" i="6"/>
  <c r="I12" i="6"/>
  <c r="K9" i="6"/>
  <c r="J9" i="6"/>
  <c r="I11" i="6"/>
  <c r="I10" i="6"/>
  <c r="K8" i="6"/>
  <c r="H11" i="6"/>
  <c r="J8" i="6"/>
  <c r="H10" i="6"/>
  <c r="I7" i="6"/>
  <c r="J7" i="6"/>
  <c r="K7" i="6"/>
  <c r="L7" i="6"/>
  <c r="M7" i="6"/>
  <c r="N7" i="6"/>
  <c r="O7" i="6"/>
  <c r="P7" i="6"/>
  <c r="Q7" i="6"/>
  <c r="R7" i="6"/>
  <c r="S7" i="6"/>
  <c r="T7" i="6"/>
  <c r="U7" i="6"/>
  <c r="V7" i="6"/>
  <c r="W7" i="6"/>
  <c r="X7" i="6"/>
  <c r="Y7" i="6"/>
  <c r="Z7" i="6"/>
  <c r="G9" i="6"/>
  <c r="G10" i="6"/>
  <c r="G11" i="6"/>
  <c r="G12" i="6"/>
  <c r="G13" i="6"/>
  <c r="G14" i="6"/>
  <c r="G15" i="6"/>
  <c r="G16" i="6"/>
  <c r="G17" i="6"/>
  <c r="G18" i="6"/>
  <c r="G19" i="6"/>
  <c r="G20" i="6"/>
  <c r="G21" i="6"/>
  <c r="G22" i="6"/>
  <c r="G23" i="6"/>
  <c r="G24" i="6"/>
  <c r="G25" i="6"/>
  <c r="G26" i="6"/>
  <c r="Z6" i="6"/>
  <c r="Y6" i="6"/>
  <c r="X6" i="6"/>
  <c r="W6" i="6"/>
  <c r="F26" i="6"/>
  <c r="F9" i="6"/>
  <c r="F25" i="6"/>
  <c r="F24" i="6"/>
  <c r="F23" i="6"/>
  <c r="T6" i="6"/>
  <c r="F20" i="6"/>
  <c r="R6" i="6"/>
  <c r="M6" i="6"/>
  <c r="F18" i="6"/>
  <c r="F13" i="6"/>
  <c r="K6" i="6"/>
  <c r="J6" i="6"/>
  <c r="I6" i="6"/>
  <c r="F5" i="6"/>
  <c r="F4" i="6"/>
  <c r="F3" i="6"/>
  <c r="F2" i="6"/>
  <c r="F11" i="6"/>
  <c r="F10" i="6"/>
  <c r="K5" i="6"/>
  <c r="J5" i="6"/>
  <c r="E10" i="6"/>
  <c r="E11" i="6"/>
  <c r="I4" i="6"/>
  <c r="J4" i="6"/>
  <c r="K4" i="6"/>
  <c r="L4" i="6"/>
  <c r="M4" i="6"/>
  <c r="N4" i="6"/>
  <c r="O4" i="6"/>
  <c r="P4" i="6"/>
  <c r="Q4" i="6"/>
  <c r="R4" i="6"/>
  <c r="S4" i="6"/>
  <c r="T4" i="6"/>
  <c r="U4" i="6"/>
  <c r="V4" i="6"/>
  <c r="W4" i="6"/>
  <c r="X4" i="6"/>
  <c r="Y4" i="6"/>
  <c r="Z4" i="6"/>
  <c r="D9" i="6"/>
  <c r="D10" i="6"/>
  <c r="D11" i="6"/>
  <c r="D12" i="6"/>
  <c r="D13" i="6"/>
  <c r="D14" i="6"/>
  <c r="D15" i="6"/>
  <c r="D16" i="6"/>
  <c r="D17" i="6"/>
  <c r="D18" i="6"/>
  <c r="D19" i="6"/>
  <c r="D20" i="6"/>
  <c r="D21" i="6"/>
  <c r="D22" i="6"/>
  <c r="D23" i="6"/>
  <c r="D24" i="6"/>
  <c r="D25" i="6"/>
  <c r="D26" i="6"/>
  <c r="Z3" i="6"/>
  <c r="Y3" i="6"/>
  <c r="X3" i="6"/>
  <c r="W3" i="6"/>
  <c r="V3" i="6"/>
  <c r="U3" i="6"/>
  <c r="T3" i="6"/>
  <c r="S3" i="6"/>
  <c r="R3" i="6"/>
  <c r="Q3" i="6"/>
  <c r="P3" i="6"/>
  <c r="O3" i="6"/>
  <c r="N3" i="6"/>
  <c r="M3" i="6"/>
  <c r="L3" i="6"/>
  <c r="K3" i="6"/>
  <c r="J3" i="6"/>
  <c r="I3" i="6"/>
  <c r="Z2" i="6"/>
  <c r="Y2" i="6"/>
  <c r="X2" i="6"/>
  <c r="W2" i="6"/>
  <c r="V2" i="6"/>
  <c r="U2" i="6"/>
  <c r="T2" i="6"/>
  <c r="S2" i="6"/>
  <c r="R2" i="6"/>
  <c r="Q2" i="6"/>
  <c r="P2" i="6"/>
  <c r="O2" i="6"/>
  <c r="N2" i="6"/>
  <c r="M2" i="6"/>
  <c r="L2" i="6"/>
  <c r="K2" i="6"/>
  <c r="J2" i="6"/>
  <c r="I2" i="6"/>
  <c r="H2" i="6"/>
  <c r="B22" i="6"/>
  <c r="B26" i="6"/>
  <c r="B25" i="6"/>
  <c r="B24" i="6"/>
  <c r="B23" i="6"/>
  <c r="C23" i="6"/>
  <c r="C25" i="6"/>
  <c r="C24" i="6"/>
  <c r="C26" i="6"/>
  <c r="B20" i="6"/>
  <c r="C20" i="6"/>
  <c r="B18" i="6"/>
  <c r="C18" i="6"/>
  <c r="B21" i="6"/>
  <c r="B19" i="6"/>
  <c r="B13" i="6"/>
  <c r="C13" i="6"/>
  <c r="B12" i="6"/>
  <c r="B11" i="6"/>
  <c r="B10" i="6"/>
  <c r="B9" i="6"/>
  <c r="C11" i="6"/>
  <c r="C10" i="6"/>
  <c r="C9" i="6"/>
  <c r="G2" i="6"/>
  <c r="G4" i="6"/>
  <c r="G3" i="6"/>
  <c r="E2" i="6"/>
  <c r="B5" i="6"/>
  <c r="W22" i="6"/>
  <c r="W21" i="6"/>
  <c r="W19" i="6"/>
  <c r="W16" i="6"/>
  <c r="W15" i="6"/>
  <c r="W14" i="6"/>
  <c r="W17" i="6"/>
  <c r="W12" i="6"/>
  <c r="W8" i="6"/>
  <c r="W5" i="6"/>
  <c r="E24" i="6"/>
  <c r="E25" i="6"/>
  <c r="H25" i="6"/>
  <c r="L25" i="6"/>
  <c r="N25" i="6"/>
  <c r="O25" i="6"/>
  <c r="P25" i="6"/>
  <c r="Q25" i="6"/>
  <c r="S25" i="6"/>
  <c r="U25" i="6"/>
  <c r="V25" i="6"/>
  <c r="Y5" i="6"/>
  <c r="Y8" i="6"/>
  <c r="Y12" i="6"/>
  <c r="Y14" i="6"/>
  <c r="Y15" i="6"/>
  <c r="Y16" i="6"/>
  <c r="Y17" i="6"/>
  <c r="Y19" i="6"/>
  <c r="Y21" i="6"/>
  <c r="Y22" i="6"/>
  <c r="R14" i="6"/>
  <c r="S14" i="6"/>
  <c r="T14" i="6"/>
  <c r="U14" i="6"/>
  <c r="V14" i="6"/>
  <c r="Z14" i="6"/>
  <c r="R16" i="6"/>
  <c r="S16" i="6"/>
  <c r="T16" i="6"/>
  <c r="U16" i="6"/>
  <c r="V16" i="6"/>
  <c r="Z16" i="6"/>
  <c r="C14" i="6"/>
  <c r="E14" i="6"/>
  <c r="F14" i="6"/>
  <c r="H14" i="6"/>
  <c r="I14" i="6"/>
  <c r="L14" i="6"/>
  <c r="M14" i="6"/>
  <c r="C16" i="6"/>
  <c r="E16" i="6"/>
  <c r="F16" i="6"/>
  <c r="H16" i="6"/>
  <c r="I16" i="6"/>
  <c r="L16" i="6"/>
  <c r="M16" i="6"/>
  <c r="P18" i="6"/>
  <c r="P19" i="6"/>
  <c r="P20" i="6"/>
  <c r="P21" i="6"/>
  <c r="P22" i="6"/>
  <c r="P24" i="6"/>
  <c r="P26" i="6"/>
  <c r="N18" i="6"/>
  <c r="N19" i="6"/>
  <c r="N20" i="6"/>
  <c r="N21" i="6"/>
  <c r="N22" i="6"/>
  <c r="N24" i="6"/>
  <c r="N26" i="6"/>
  <c r="N5" i="6"/>
  <c r="N6" i="6"/>
  <c r="N8" i="6"/>
  <c r="N9" i="6"/>
  <c r="N12" i="6"/>
  <c r="N13" i="6"/>
  <c r="P5" i="6"/>
  <c r="P6" i="6"/>
  <c r="P8" i="6"/>
  <c r="P9" i="6"/>
  <c r="P12" i="6"/>
  <c r="P13" i="6"/>
  <c r="E7" i="6"/>
  <c r="G5" i="6"/>
  <c r="H4" i="6"/>
  <c r="E4" i="6"/>
  <c r="D5" i="6"/>
  <c r="D8" i="6"/>
  <c r="I17" i="6"/>
  <c r="Q9" i="6"/>
  <c r="M17" i="6"/>
  <c r="Q13" i="6"/>
  <c r="Q20" i="6"/>
  <c r="T17" i="6"/>
  <c r="Q6" i="6"/>
  <c r="F17" i="6"/>
  <c r="C17" i="6"/>
  <c r="X17" i="6"/>
  <c r="Q24" i="6"/>
  <c r="Z17" i="6"/>
  <c r="Q26" i="6"/>
  <c r="Z15" i="6"/>
  <c r="O26" i="6"/>
  <c r="T15" i="6"/>
  <c r="O20" i="6"/>
  <c r="O24" i="6"/>
  <c r="R15" i="6"/>
  <c r="O18" i="6"/>
  <c r="O13" i="6"/>
  <c r="M15" i="6"/>
  <c r="O9" i="6"/>
  <c r="I15" i="6"/>
  <c r="O6" i="6"/>
  <c r="F15" i="6"/>
  <c r="C15" i="6"/>
  <c r="H22" i="6"/>
  <c r="V8" i="6"/>
  <c r="S22" i="6"/>
  <c r="V19" i="6"/>
  <c r="S21" i="6"/>
  <c r="U19" i="6"/>
  <c r="H19" i="6"/>
  <c r="H21" i="6"/>
  <c r="U8" i="6"/>
  <c r="S8" i="6"/>
  <c r="V12" i="6"/>
  <c r="L22" i="6"/>
  <c r="L21" i="6"/>
  <c r="U12" i="6"/>
  <c r="L8" i="6"/>
  <c r="H12" i="6"/>
  <c r="S5" i="6"/>
  <c r="E22" i="6"/>
  <c r="V5" i="6"/>
  <c r="U5" i="6"/>
  <c r="E21" i="6"/>
  <c r="H5" i="6"/>
  <c r="E8" i="6"/>
  <c r="L5" i="6"/>
  <c r="E12" i="6"/>
  <c r="S12" i="6"/>
  <c r="L19" i="6"/>
  <c r="H15" i="6"/>
  <c r="O8" i="6"/>
  <c r="O19" i="6"/>
  <c r="S15" i="6"/>
  <c r="V15" i="6"/>
  <c r="O22" i="6"/>
  <c r="U15" i="6"/>
  <c r="O21" i="6"/>
  <c r="L15" i="6"/>
  <c r="O12" i="6"/>
  <c r="O5" i="6"/>
  <c r="E15" i="6"/>
  <c r="T8" i="6"/>
  <c r="H20" i="6"/>
  <c r="V20" i="6"/>
  <c r="T22" i="6"/>
  <c r="T21" i="6"/>
  <c r="U20" i="6"/>
  <c r="T19" i="6"/>
  <c r="S20" i="6"/>
  <c r="T12" i="6"/>
  <c r="L20" i="6"/>
  <c r="E20" i="6"/>
  <c r="T5" i="6"/>
  <c r="Q5" i="6"/>
  <c r="E17" i="6"/>
  <c r="Q8" i="6"/>
  <c r="H17" i="6"/>
  <c r="V17" i="6"/>
  <c r="Q22" i="6"/>
  <c r="Q21" i="6"/>
  <c r="U17" i="6"/>
  <c r="S17" i="6"/>
  <c r="Q19" i="6"/>
  <c r="R19" i="6"/>
  <c r="S18" i="6"/>
  <c r="R22" i="6"/>
  <c r="V18" i="6"/>
  <c r="R21" i="6"/>
  <c r="U18" i="6"/>
  <c r="R8" i="6"/>
  <c r="H18" i="6"/>
  <c r="R12" i="6"/>
  <c r="L18" i="6"/>
  <c r="R5" i="6"/>
  <c r="E18" i="6"/>
  <c r="X8" i="6"/>
  <c r="H24" i="6"/>
  <c r="S24" i="6"/>
  <c r="X19" i="6"/>
  <c r="X12" i="6"/>
  <c r="L24" i="6"/>
  <c r="U24" i="6"/>
  <c r="X21" i="6"/>
  <c r="X22" i="6"/>
  <c r="V24" i="6"/>
  <c r="X5" i="6"/>
  <c r="Z5" i="6"/>
  <c r="E26" i="6"/>
  <c r="Z8" i="6"/>
  <c r="H26" i="6"/>
  <c r="Z22" i="6"/>
  <c r="V26" i="6"/>
  <c r="Z21" i="6"/>
  <c r="U26" i="6"/>
  <c r="Z19" i="6"/>
  <c r="S26" i="6"/>
  <c r="Z12" i="6"/>
  <c r="L26" i="6"/>
  <c r="M22" i="6"/>
  <c r="V13" i="6"/>
  <c r="U13" i="6"/>
  <c r="M21" i="6"/>
  <c r="M19" i="6"/>
  <c r="S13" i="6"/>
  <c r="M12" i="6"/>
  <c r="L13" i="6"/>
  <c r="M8" i="6"/>
  <c r="H13" i="6"/>
  <c r="M5" i="6"/>
  <c r="E13" i="6"/>
  <c r="I5" i="6"/>
  <c r="E9" i="6"/>
  <c r="I22" i="6"/>
  <c r="V9" i="6"/>
  <c r="I21" i="6"/>
  <c r="U9" i="6"/>
  <c r="I19" i="6"/>
  <c r="S9" i="6"/>
  <c r="L9" i="6"/>
  <c r="E6" i="6"/>
  <c r="F22" i="6"/>
  <c r="V6" i="6"/>
  <c r="F21" i="6"/>
  <c r="U6" i="6"/>
  <c r="S6" i="6"/>
  <c r="F12" i="6"/>
  <c r="L6" i="6"/>
  <c r="Q12" i="6"/>
  <c r="L17" i="6"/>
  <c r="C22" i="6"/>
  <c r="C19" i="6"/>
  <c r="C21" i="6"/>
  <c r="C12" i="6"/>
  <c r="C8" i="6"/>
  <c r="H3" i="6"/>
  <c r="C5" i="6"/>
  <c r="E3" i="6"/>
</calcChain>
</file>

<file path=xl/sharedStrings.xml><?xml version="1.0" encoding="utf-8"?>
<sst xmlns="http://schemas.openxmlformats.org/spreadsheetml/2006/main" count="248" uniqueCount="45">
  <si>
    <t>Bannans</t>
  </si>
  <si>
    <t>Boujailles</t>
  </si>
  <si>
    <t>Bouverans</t>
  </si>
  <si>
    <t>Bulle</t>
  </si>
  <si>
    <t>Courvières</t>
  </si>
  <si>
    <t>Dompierre-les-Tilleuls</t>
  </si>
  <si>
    <t>Frasne</t>
  </si>
  <si>
    <t>Vaux-et-Chantegrue</t>
  </si>
  <si>
    <t>La-Rivière-Drugeon</t>
  </si>
  <si>
    <t>Bonnevaux</t>
  </si>
  <si>
    <t>à pied</t>
  </si>
  <si>
    <t>à vélo</t>
  </si>
  <si>
    <t>Je dois prévoir d'effectuer</t>
  </si>
  <si>
    <t>Je souhaite me déplacer</t>
  </si>
  <si>
    <t>A vélo</t>
  </si>
  <si>
    <t>A pied</t>
  </si>
  <si>
    <t>heures et</t>
  </si>
  <si>
    <t>Ferme de Cessay</t>
  </si>
  <si>
    <t>Tourbières de Frasne</t>
  </si>
  <si>
    <t>Lac de Bouverans</t>
  </si>
  <si>
    <t>La pastorale de Bonnevaux</t>
  </si>
  <si>
    <t>Site nordique de Vaux-et-Chantegrue</t>
  </si>
  <si>
    <t>Belvédère de Châtel Veron</t>
  </si>
  <si>
    <t>Belvédère des Méandres du Drugeon</t>
  </si>
  <si>
    <t>Observatoire de La-Rivière-Drugeon</t>
  </si>
  <si>
    <t>Chapelle de Dompierre-les-Tilleuls</t>
  </si>
  <si>
    <t>Etang des Etarots</t>
  </si>
  <si>
    <t>Moulin de Courvières</t>
  </si>
  <si>
    <t>Passage antique de Chalamont</t>
  </si>
  <si>
    <t>Point information Tourisme de Frasne</t>
  </si>
  <si>
    <t>Jardin de curé de La-Rivière-Drugeon</t>
  </si>
  <si>
    <t>Chalet de ski de Frasne</t>
  </si>
  <si>
    <t>Je souhaite aller à</t>
  </si>
  <si>
    <t>en partant de</t>
  </si>
  <si>
    <t>km soit</t>
  </si>
  <si>
    <t>minutes de trajet.</t>
  </si>
  <si>
    <t>.</t>
  </si>
  <si>
    <t>Simulateur d'itinéraire</t>
  </si>
  <si>
    <t>Pour cela, il suffit de renseigner les cases en jaunes.</t>
  </si>
  <si>
    <t>Cliquez sur les cases jaunes et faites défiler le menu déroulant à l'aide de la flèche sur la droite de la case. Choisissez votre mode de locomotion, puis votre lieu de départ et votre lieu d'arrivée. Recommencez autant de fois que nécessaire l'opération.</t>
  </si>
  <si>
    <t>(Les cases en orange se remplissent automatiquement selon les renseignements donnés dans les cases jaunes.)</t>
  </si>
  <si>
    <t>Tableau de référence des distances des liaisons vertes piétonnes (en km)</t>
  </si>
  <si>
    <t>Tableau de référence des distances des liaisons vertes cyclables (en km)</t>
  </si>
  <si>
    <t>Liaisons vertes de la Communauté de Communes du Plateau de Frasne et du Val du Drugeon</t>
  </si>
  <si>
    <t>Bienvenue dans le simulateur d'itinéraire des liaisons vertes de la Communauté de Communes du Plateau de Frasne et du Val du Drugeon.
Grâce à ce document, vous allez pouvoir calculer automatiquement les distances et les durées que vous prendront vos balades sur les liaisons vertes du territoire.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</si>
</sst>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Calibri"/>
      <family val="2"/>
      <scheme val="minor"/>
    </font>
    <font>
      <sz val="18"/>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s>
  <fills count="8">
    <fill>
      <patternFill patternType="none"/>
    </fill>
    <fill>
      <patternFill patternType="gray125"/>
    </fill>
    <fill>
      <patternFill patternType="solid">
        <fgColor theme="5"/>
        <bgColor indexed="64"/>
      </patternFill>
    </fill>
    <fill>
      <patternFill patternType="solid">
        <fgColor theme="0" tint="-0.249977111117893"/>
        <bgColor indexed="64"/>
      </patternFill>
    </fill>
    <fill>
      <patternFill patternType="solid">
        <fgColor rgb="FFFF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0" xfId="0" applyFill="1"/>
    <xf numFmtId="0" fontId="0" fillId="0" borderId="0" xfId="0" applyAlignment="1">
      <alignment horizontal="center" wrapText="1"/>
    </xf>
    <xf numFmtId="0" fontId="0" fillId="0" borderId="0" xfId="0" applyFill="1" applyAlignment="1">
      <alignment horizontal="center" wrapText="1"/>
    </xf>
    <xf numFmtId="0" fontId="0" fillId="5" borderId="0" xfId="0" applyFill="1"/>
    <xf numFmtId="0" fontId="0" fillId="5" borderId="0" xfId="0" applyFill="1" applyAlignment="1">
      <alignment horizontal="right"/>
    </xf>
    <xf numFmtId="0" fontId="0" fillId="5" borderId="0" xfId="0" applyFill="1" applyAlignment="1">
      <alignment horizontal="center"/>
    </xf>
    <xf numFmtId="2" fontId="3" fillId="2" borderId="0" xfId="0" applyNumberFormat="1"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0" fillId="4" borderId="0" xfId="0" applyFill="1" applyAlignment="1">
      <alignment horizontal="center"/>
    </xf>
    <xf numFmtId="0" fontId="0" fillId="3" borderId="0" xfId="0" applyFill="1" applyAlignment="1">
      <alignment horizontal="left"/>
    </xf>
    <xf numFmtId="0" fontId="0" fillId="3" borderId="0" xfId="0" applyFill="1" applyBorder="1" applyAlignment="1">
      <alignment horizontal="left"/>
    </xf>
    <xf numFmtId="0" fontId="0" fillId="3" borderId="0" xfId="0" applyFill="1" applyAlignment="1">
      <alignment horizontal="left" wrapText="1"/>
    </xf>
    <xf numFmtId="0" fontId="2" fillId="0" borderId="1" xfId="0" applyFont="1" applyBorder="1" applyAlignment="1">
      <alignment horizontal="center" vertical="center" wrapText="1"/>
    </xf>
    <xf numFmtId="0" fontId="0" fillId="6" borderId="1" xfId="0" applyFill="1" applyBorder="1" applyAlignment="1">
      <alignment horizontal="center" wrapText="1"/>
    </xf>
    <xf numFmtId="0" fontId="0" fillId="6" borderId="1" xfId="0" applyFill="1" applyBorder="1" applyAlignment="1">
      <alignment horizontal="right" wrapText="1"/>
    </xf>
    <xf numFmtId="2" fontId="0" fillId="7" borderId="1" xfId="0" applyNumberFormat="1" applyFill="1" applyBorder="1" applyAlignment="1">
      <alignment horizontal="right" wrapText="1"/>
    </xf>
    <xf numFmtId="2" fontId="0" fillId="0" borderId="1" xfId="0" applyNumberFormat="1" applyFill="1" applyBorder="1" applyAlignment="1">
      <alignment horizontal="center" wrapText="1"/>
    </xf>
    <xf numFmtId="2" fontId="0" fillId="0" borderId="1" xfId="0" applyNumberFormat="1" applyFill="1" applyBorder="1" applyAlignment="1">
      <alignment horizontal="right"/>
    </xf>
    <xf numFmtId="2" fontId="0" fillId="0" borderId="1" xfId="0" applyNumberFormat="1" applyFill="1" applyBorder="1"/>
    <xf numFmtId="0" fontId="0" fillId="6" borderId="1" xfId="0" applyFill="1" applyBorder="1" applyAlignment="1">
      <alignment horizontal="right"/>
    </xf>
    <xf numFmtId="2" fontId="0" fillId="7" borderId="1" xfId="0" applyNumberFormat="1" applyFill="1" applyBorder="1"/>
    <xf numFmtId="2" fontId="1" fillId="0" borderId="1" xfId="0" applyNumberFormat="1" applyFont="1" applyFill="1" applyBorder="1"/>
    <xf numFmtId="2" fontId="0" fillId="0" borderId="1" xfId="0" applyNumberFormat="1" applyBorder="1"/>
    <xf numFmtId="0" fontId="0" fillId="5" borderId="0" xfId="0" applyFill="1" applyAlignment="1">
      <alignment horizontal="center"/>
    </xf>
    <xf numFmtId="0" fontId="4" fillId="5" borderId="0" xfId="0" applyFont="1" applyFill="1" applyAlignment="1">
      <alignment horizontal="center"/>
    </xf>
    <xf numFmtId="0" fontId="0" fillId="5" borderId="0" xfId="0" applyFill="1" applyAlignment="1">
      <alignment horizontal="center" wrapText="1"/>
    </xf>
    <xf numFmtId="0" fontId="0" fillId="5" borderId="0" xfId="0" applyFill="1" applyAlignment="1">
      <alignment horizontal="left" vertical="top" wrapText="1"/>
    </xf>
    <xf numFmtId="0" fontId="0" fillId="5" borderId="0" xfId="0" applyFill="1" applyAlignment="1">
      <alignment horizontal="left" vertical="top"/>
    </xf>
    <xf numFmtId="0" fontId="0" fillId="5" borderId="0" xfId="0" applyFill="1" applyAlignment="1">
      <alignment horizontal="left" wrapText="1"/>
    </xf>
    <xf numFmtId="0" fontId="0" fillId="4" borderId="0" xfId="0" applyFill="1" applyAlignment="1">
      <alignment horizontal="center"/>
    </xf>
    <xf numFmtId="0" fontId="5"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168671</xdr:colOff>
      <xdr:row>1</xdr:row>
      <xdr:rowOff>168671</xdr:rowOff>
    </xdr:from>
    <xdr:to>
      <xdr:col>3</xdr:col>
      <xdr:colOff>359170</xdr:colOff>
      <xdr:row>5</xdr:row>
      <xdr:rowOff>72231</xdr:rowOff>
    </xdr:to>
    <xdr:pic>
      <xdr:nvPicPr>
        <xdr:cNvPr id="3" name="Image 2" descr="Communauté de communes du plateau de Frasne et du Val du Drugeon">
          <a:extLst>
            <a:ext uri="{FF2B5EF4-FFF2-40B4-BE49-F238E27FC236}">
              <a16:creationId xmlns:a16="http://schemas.microsoft.com/office/drawing/2014/main" id="{CAE95C94-8F30-49D1-9DB4-46A139E11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624" y="357187"/>
          <a:ext cx="1976437" cy="736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9"/>
  <sheetViews>
    <sheetView tabSelected="1" topLeftCell="A4" zoomScale="96" zoomScaleNormal="96" workbookViewId="0">
      <selection activeCell="F11" sqref="F11"/>
    </sheetView>
  </sheetViews>
  <sheetFormatPr baseColWidth="10" defaultRowHeight="15" x14ac:dyDescent="0.25"/>
  <cols>
    <col min="1" max="1" width="3.85546875" customWidth="1"/>
    <col min="2" max="2" width="2" customWidth="1"/>
    <col min="3" max="3" width="26.85546875" customWidth="1"/>
    <col min="4" max="6" width="11.7109375" customWidth="1"/>
    <col min="7" max="7" width="13.5703125" customWidth="1"/>
    <col min="8" max="10" width="11.7109375" customWidth="1"/>
    <col min="11" max="11" width="19.28515625" customWidth="1"/>
    <col min="12" max="12" width="2.5703125" customWidth="1"/>
    <col min="13" max="13" width="26.42578125" customWidth="1"/>
    <col min="14" max="19" width="9.85546875" customWidth="1"/>
    <col min="20" max="23" width="12.5703125" customWidth="1"/>
  </cols>
  <sheetData>
    <row r="2" spans="2:12" x14ac:dyDescent="0.25">
      <c r="B2" s="4"/>
      <c r="C2" s="4"/>
      <c r="D2" s="4"/>
      <c r="E2" s="4"/>
      <c r="F2" s="4"/>
      <c r="G2" s="4"/>
      <c r="H2" s="4"/>
      <c r="I2" s="4"/>
      <c r="J2" s="4"/>
      <c r="K2" s="4"/>
      <c r="L2" s="4"/>
    </row>
    <row r="3" spans="2:12" ht="21" x14ac:dyDescent="0.35">
      <c r="B3" s="4"/>
      <c r="C3" s="4"/>
      <c r="D3" s="4"/>
      <c r="E3" s="26" t="s">
        <v>37</v>
      </c>
      <c r="F3" s="26"/>
      <c r="G3" s="26"/>
      <c r="H3" s="26"/>
      <c r="I3" s="4"/>
      <c r="J3" s="4"/>
      <c r="K3" s="4"/>
      <c r="L3" s="4"/>
    </row>
    <row r="4" spans="2:12" x14ac:dyDescent="0.25">
      <c r="B4" s="4"/>
      <c r="C4" s="4"/>
      <c r="D4" s="4"/>
      <c r="E4" s="27" t="s">
        <v>43</v>
      </c>
      <c r="F4" s="27"/>
      <c r="G4" s="27"/>
      <c r="H4" s="27"/>
      <c r="I4" s="4"/>
      <c r="J4" s="4"/>
      <c r="K4" s="4"/>
      <c r="L4" s="4"/>
    </row>
    <row r="5" spans="2:12" x14ac:dyDescent="0.25">
      <c r="B5" s="4"/>
      <c r="C5" s="4"/>
      <c r="D5" s="4"/>
      <c r="E5" s="27"/>
      <c r="F5" s="27"/>
      <c r="G5" s="27"/>
      <c r="H5" s="27"/>
      <c r="I5" s="4"/>
      <c r="J5" s="4"/>
      <c r="K5" s="4"/>
      <c r="L5" s="4"/>
    </row>
    <row r="6" spans="2:12" ht="23.25" customHeight="1" x14ac:dyDescent="0.25">
      <c r="B6" s="4"/>
      <c r="C6" s="4"/>
      <c r="D6" s="4"/>
      <c r="E6" s="4"/>
      <c r="F6" s="4"/>
      <c r="G6" s="4"/>
      <c r="H6" s="4"/>
      <c r="I6" s="4"/>
      <c r="J6" s="4"/>
      <c r="K6" s="4"/>
      <c r="L6" s="4"/>
    </row>
    <row r="7" spans="2:12" ht="46.5" customHeight="1" x14ac:dyDescent="0.25">
      <c r="B7" s="4"/>
      <c r="C7" s="28" t="s">
        <v>44</v>
      </c>
      <c r="D7" s="29"/>
      <c r="E7" s="29"/>
      <c r="F7" s="29"/>
      <c r="G7" s="29"/>
      <c r="H7" s="29"/>
      <c r="I7" s="29"/>
      <c r="J7" s="29"/>
      <c r="K7" s="29"/>
      <c r="L7" s="4"/>
    </row>
    <row r="8" spans="2:12" x14ac:dyDescent="0.25">
      <c r="B8" s="4"/>
      <c r="C8" s="4" t="s">
        <v>38</v>
      </c>
      <c r="D8" s="4"/>
      <c r="E8" s="4"/>
      <c r="F8" s="4"/>
      <c r="G8" s="4"/>
      <c r="H8" s="4"/>
      <c r="I8" s="4"/>
      <c r="J8" s="4"/>
      <c r="K8" s="4"/>
      <c r="L8" s="4"/>
    </row>
    <row r="9" spans="2:12" ht="35.25" customHeight="1" x14ac:dyDescent="0.25">
      <c r="B9" s="4"/>
      <c r="C9" s="30" t="s">
        <v>39</v>
      </c>
      <c r="D9" s="30"/>
      <c r="E9" s="30"/>
      <c r="F9" s="30"/>
      <c r="G9" s="30"/>
      <c r="H9" s="30"/>
      <c r="I9" s="30"/>
      <c r="J9" s="30"/>
      <c r="K9" s="30"/>
      <c r="L9" s="4"/>
    </row>
    <row r="10" spans="2:12" x14ac:dyDescent="0.25">
      <c r="B10" s="4"/>
      <c r="C10" s="4"/>
      <c r="D10" s="4"/>
      <c r="E10" s="4"/>
      <c r="F10" s="4"/>
      <c r="G10" s="4"/>
      <c r="H10" s="4"/>
      <c r="I10" s="4"/>
      <c r="J10" s="4"/>
      <c r="K10" s="4"/>
      <c r="L10" s="4"/>
    </row>
    <row r="11" spans="2:12" x14ac:dyDescent="0.25">
      <c r="B11" s="4"/>
      <c r="C11" s="5" t="s">
        <v>13</v>
      </c>
      <c r="D11" s="10"/>
      <c r="E11" s="4" t="s">
        <v>36</v>
      </c>
      <c r="F11" s="4"/>
      <c r="G11" s="4"/>
      <c r="H11" s="4"/>
      <c r="I11" s="4"/>
      <c r="J11" s="4"/>
      <c r="K11" s="4"/>
      <c r="L11" s="4"/>
    </row>
    <row r="12" spans="2:12" x14ac:dyDescent="0.25">
      <c r="B12" s="4"/>
      <c r="C12" s="4"/>
      <c r="D12" s="4"/>
      <c r="E12" s="4"/>
      <c r="F12" s="4"/>
      <c r="G12" s="4"/>
      <c r="H12" s="4"/>
      <c r="I12" s="4"/>
      <c r="J12" s="4"/>
      <c r="K12" s="4"/>
      <c r="L12" s="4"/>
    </row>
    <row r="13" spans="2:12" x14ac:dyDescent="0.25">
      <c r="B13" s="4"/>
      <c r="C13" s="5" t="s">
        <v>32</v>
      </c>
      <c r="D13" s="31"/>
      <c r="E13" s="31"/>
      <c r="F13" s="31"/>
      <c r="G13" s="6" t="s">
        <v>33</v>
      </c>
      <c r="H13" s="31"/>
      <c r="I13" s="31"/>
      <c r="J13" s="31"/>
      <c r="K13" s="4" t="s">
        <v>36</v>
      </c>
      <c r="L13" s="4"/>
    </row>
    <row r="14" spans="2:12" x14ac:dyDescent="0.25">
      <c r="B14" s="4"/>
      <c r="C14" s="4"/>
      <c r="D14" s="4"/>
      <c r="E14" s="4"/>
      <c r="F14" s="4"/>
      <c r="G14" s="4"/>
      <c r="H14" s="4"/>
      <c r="I14" s="4"/>
      <c r="J14" s="4"/>
      <c r="K14" s="4"/>
      <c r="L14" s="4"/>
    </row>
    <row r="15" spans="2:12" x14ac:dyDescent="0.25">
      <c r="B15" s="4"/>
      <c r="C15" s="4"/>
      <c r="D15" s="4"/>
      <c r="E15" s="4"/>
      <c r="F15" s="4"/>
      <c r="G15" s="4"/>
      <c r="H15" s="4"/>
      <c r="I15" s="4"/>
      <c r="J15" s="4"/>
      <c r="K15" s="4"/>
      <c r="L15" s="4"/>
    </row>
    <row r="16" spans="2:12" x14ac:dyDescent="0.25">
      <c r="B16" s="4"/>
      <c r="C16" s="5" t="s">
        <v>12</v>
      </c>
      <c r="D16" s="7" t="e">
        <f>IF(D11="à vélo",INDEX('Tableau de référence'!B2:Z26,MATCH(H13,'Tableau de référence'!A2:A26,0),MATCH(D13,'Tableau de référence'!B1:Z1,0)),INDEX('Tableau de référence'!B29:Z53,MATCH(H13,'Tableau de référence'!A29:A53,0),MATCH(D13,'Tableau de référence'!B28:Z28,0)))</f>
        <v>#N/A</v>
      </c>
      <c r="E16" s="6" t="s">
        <v>34</v>
      </c>
      <c r="F16" s="8" t="e">
        <f>INT(IF(D11="à pied",D16*15,D16*5)/60)</f>
        <v>#N/A</v>
      </c>
      <c r="G16" s="6" t="s">
        <v>16</v>
      </c>
      <c r="H16" s="9" t="e">
        <f>MOD(IF(D11="à pied",D16*15,D16*5),60)</f>
        <v>#N/A</v>
      </c>
      <c r="I16" s="25" t="s">
        <v>35</v>
      </c>
      <c r="J16" s="25"/>
      <c r="K16" s="4"/>
      <c r="L16" s="4"/>
    </row>
    <row r="17" spans="2:12" x14ac:dyDescent="0.25">
      <c r="B17" s="4"/>
      <c r="C17" s="25" t="s">
        <v>40</v>
      </c>
      <c r="D17" s="25"/>
      <c r="E17" s="25"/>
      <c r="F17" s="25"/>
      <c r="G17" s="25"/>
      <c r="H17" s="25"/>
      <c r="I17" s="25"/>
      <c r="J17" s="25"/>
      <c r="K17" s="25"/>
      <c r="L17" s="4"/>
    </row>
    <row r="18" spans="2:12" ht="15" customHeight="1" x14ac:dyDescent="0.25">
      <c r="B18" s="4"/>
      <c r="C18" s="4"/>
      <c r="D18" s="4"/>
      <c r="E18" s="4"/>
      <c r="F18" s="4"/>
      <c r="G18" s="4"/>
      <c r="H18" s="4"/>
      <c r="I18" s="4"/>
      <c r="J18" s="4"/>
      <c r="K18" s="4"/>
      <c r="L18" s="4"/>
    </row>
    <row r="19" spans="2:12" x14ac:dyDescent="0.25">
      <c r="B19" s="4"/>
      <c r="C19" s="4"/>
      <c r="D19" s="4"/>
      <c r="E19" s="4"/>
      <c r="F19" s="4"/>
      <c r="G19" s="4"/>
      <c r="H19" s="4"/>
      <c r="I19" s="4"/>
      <c r="J19" s="4"/>
      <c r="K19" s="4"/>
      <c r="L19" s="4"/>
    </row>
  </sheetData>
  <mergeCells count="8">
    <mergeCell ref="I16:J16"/>
    <mergeCell ref="C17:K17"/>
    <mergeCell ref="E3:H3"/>
    <mergeCell ref="E4:H5"/>
    <mergeCell ref="C7:K7"/>
    <mergeCell ref="C9:K9"/>
    <mergeCell ref="D13:F13"/>
    <mergeCell ref="H13:J13"/>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'Tableau de référence'!$A$56:$A$80</xm:f>
          </x14:formula1>
          <xm:sqref>H13:J13 D13:F13</xm:sqref>
        </x14:dataValidation>
        <x14:dataValidation type="list" allowBlank="1" showInputMessage="1" showErrorMessage="1" xr:uid="{00000000-0002-0000-0000-000001000000}">
          <x14:formula1>
            <xm:f>'Tableau de référence'!$C$56:$C$57</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4"/>
  <sheetViews>
    <sheetView topLeftCell="A15" zoomScale="32" zoomScaleNormal="32" workbookViewId="0">
      <selection activeCell="N66" sqref="N65:N66"/>
    </sheetView>
  </sheetViews>
  <sheetFormatPr baseColWidth="10" defaultRowHeight="15" x14ac:dyDescent="0.25"/>
  <cols>
    <col min="1" max="1" width="34.7109375" customWidth="1"/>
    <col min="2" max="2" width="9.28515625" style="1" customWidth="1"/>
    <col min="3" max="3" width="8.85546875" customWidth="1"/>
    <col min="4" max="4" width="11.7109375" customWidth="1"/>
    <col min="5" max="5" width="8.85546875" customWidth="1"/>
    <col min="6" max="7" width="11" customWidth="1"/>
    <col min="8" max="8" width="11.140625" customWidth="1"/>
    <col min="9" max="9" width="11.5703125" customWidth="1"/>
    <col min="10" max="10" width="10.7109375" customWidth="1"/>
    <col min="11" max="11" width="10.28515625" customWidth="1"/>
    <col min="12" max="12" width="10" customWidth="1"/>
    <col min="13" max="13" width="10.5703125" customWidth="1"/>
    <col min="14" max="14" width="12.5703125" customWidth="1"/>
    <col min="15" max="18" width="8.85546875" customWidth="1"/>
    <col min="19" max="19" width="10.7109375" customWidth="1"/>
    <col min="20" max="20" width="10.28515625" customWidth="1"/>
    <col min="21" max="22" width="8.85546875" customWidth="1"/>
    <col min="23" max="23" width="10.5703125" customWidth="1"/>
    <col min="24" max="24" width="9.7109375" customWidth="1"/>
    <col min="25" max="25" width="10.42578125" customWidth="1"/>
    <col min="26" max="26" width="11" customWidth="1"/>
  </cols>
  <sheetData>
    <row r="1" spans="1:26" s="2" customFormat="1" ht="76.5" customHeight="1" x14ac:dyDescent="0.25">
      <c r="A1" s="14" t="s">
        <v>14</v>
      </c>
      <c r="B1" s="15" t="s">
        <v>31</v>
      </c>
      <c r="C1" s="15" t="s">
        <v>6</v>
      </c>
      <c r="D1" s="15" t="s">
        <v>29</v>
      </c>
      <c r="E1" s="15" t="s">
        <v>18</v>
      </c>
      <c r="F1" s="15" t="s">
        <v>9</v>
      </c>
      <c r="G1" s="15" t="s">
        <v>20</v>
      </c>
      <c r="H1" s="15" t="s">
        <v>21</v>
      </c>
      <c r="I1" s="15" t="s">
        <v>7</v>
      </c>
      <c r="J1" s="15" t="s">
        <v>23</v>
      </c>
      <c r="K1" s="15" t="s">
        <v>22</v>
      </c>
      <c r="L1" s="15" t="s">
        <v>19</v>
      </c>
      <c r="M1" s="15" t="s">
        <v>2</v>
      </c>
      <c r="N1" s="15" t="s">
        <v>24</v>
      </c>
      <c r="O1" s="15" t="s">
        <v>8</v>
      </c>
      <c r="P1" s="15" t="s">
        <v>30</v>
      </c>
      <c r="Q1" s="15" t="s">
        <v>0</v>
      </c>
      <c r="R1" s="15" t="s">
        <v>3</v>
      </c>
      <c r="S1" s="15" t="s">
        <v>25</v>
      </c>
      <c r="T1" s="15" t="s">
        <v>5</v>
      </c>
      <c r="U1" s="15" t="s">
        <v>17</v>
      </c>
      <c r="V1" s="15" t="s">
        <v>26</v>
      </c>
      <c r="W1" s="15" t="s">
        <v>28</v>
      </c>
      <c r="X1" s="15" t="s">
        <v>1</v>
      </c>
      <c r="Y1" s="15" t="s">
        <v>27</v>
      </c>
      <c r="Z1" s="15" t="s">
        <v>4</v>
      </c>
    </row>
    <row r="2" spans="1:26" s="3" customFormat="1" ht="15" customHeight="1" x14ac:dyDescent="0.25">
      <c r="A2" s="16" t="s">
        <v>31</v>
      </c>
      <c r="B2" s="17">
        <v>0</v>
      </c>
      <c r="C2" s="18">
        <v>1.37</v>
      </c>
      <c r="D2" s="18">
        <v>1.37</v>
      </c>
      <c r="E2" s="19">
        <f>1.37+3.58+0.98</f>
        <v>5.93</v>
      </c>
      <c r="F2" s="20">
        <f>3.58+0.98+0.36+2.07+0.272+0.405</f>
        <v>7.6670000000000007</v>
      </c>
      <c r="G2" s="20">
        <f>3.58+0.98+0.36+2.07+1.34</f>
        <v>8.33</v>
      </c>
      <c r="H2" s="20">
        <f>3.58+0.98+0.36+2.07+0.272+0.405+5.79+1.34</f>
        <v>14.797000000000001</v>
      </c>
      <c r="I2" s="20">
        <f>3.58+0.98+0.36+2.07+0.272+0.405+5.79+3.89+1.34</f>
        <v>18.687000000000001</v>
      </c>
      <c r="J2" s="20">
        <f>3.58+0.98+0.36+2.07+0.272+0.405+5.79+3.89+2.97+1.34</f>
        <v>21.657</v>
      </c>
      <c r="K2" s="20">
        <f>3.58+0.98+0.36+2.07+0.879+1.34</f>
        <v>9.2089999999999996</v>
      </c>
      <c r="L2" s="20">
        <f>3.58+0.98+0.36+2.07+2.6+1.34</f>
        <v>10.93</v>
      </c>
      <c r="M2" s="20">
        <f>2.57+0.455+0.684+0.45+3.06+1.38+1.34</f>
        <v>9.9390000000000001</v>
      </c>
      <c r="N2" s="20">
        <f>2.57+0.455+0.684+0.45+3.06+1.34</f>
        <v>8.5589999999999993</v>
      </c>
      <c r="O2" s="20">
        <f>2.57+0.455+0.684+0.45+3.06+1.34</f>
        <v>8.5589999999999993</v>
      </c>
      <c r="P2" s="20">
        <f>2.57+0.455+0.684+0.45+3.06+1.34</f>
        <v>8.5589999999999993</v>
      </c>
      <c r="Q2" s="20">
        <f>2.57+0.455+0.684+0.45+3.06+3.1+1.34</f>
        <v>11.658999999999999</v>
      </c>
      <c r="R2" s="20">
        <f>1.34+2.57+1.39+2.05+9.89</f>
        <v>17.240000000000002</v>
      </c>
      <c r="S2" s="20">
        <f>2.57+0.455+1.34</f>
        <v>4.3650000000000002</v>
      </c>
      <c r="T2" s="20">
        <f>1.34+2.57+0.455+0.684</f>
        <v>5.0490000000000004</v>
      </c>
      <c r="U2" s="20">
        <f>2.57+1.39+0.876+1.34</f>
        <v>6.1760000000000002</v>
      </c>
      <c r="V2" s="20">
        <f>2.57+1.39+0.876+5.21+1.34</f>
        <v>11.385999999999999</v>
      </c>
      <c r="W2" s="20">
        <f>2.82+2.13+1.96+4.14+1.23+3.68</f>
        <v>15.959999999999999</v>
      </c>
      <c r="X2" s="20">
        <f>2.82+2.13+1.96+4.14</f>
        <v>11.049999999999999</v>
      </c>
      <c r="Y2" s="20">
        <f>2.82+2.13+1.96</f>
        <v>6.9099999999999993</v>
      </c>
      <c r="Z2" s="20">
        <f>2.82+2.13+1.96</f>
        <v>6.9099999999999993</v>
      </c>
    </row>
    <row r="3" spans="1:26" x14ac:dyDescent="0.25">
      <c r="A3" s="21" t="s">
        <v>6</v>
      </c>
      <c r="B3" s="19">
        <v>1.37</v>
      </c>
      <c r="C3" s="22">
        <v>0</v>
      </c>
      <c r="D3" s="22">
        <v>0</v>
      </c>
      <c r="E3" s="20">
        <f>3.58+0.98</f>
        <v>4.5600000000000005</v>
      </c>
      <c r="F3" s="20">
        <f>3.58+0.98+0.36+2.07+0.272+0.405+1.34</f>
        <v>9.0070000000000014</v>
      </c>
      <c r="G3" s="20">
        <f>3.58+0.98+0.36+2.07</f>
        <v>6.99</v>
      </c>
      <c r="H3" s="20">
        <f>3.58+0.98+0.36+2.07+0.272+0.405+5.79</f>
        <v>13.457000000000001</v>
      </c>
      <c r="I3" s="20">
        <f>3.58+0.98+0.36+2.07+0.272+0.405+5.79+3.89</f>
        <v>17.347000000000001</v>
      </c>
      <c r="J3" s="20">
        <f>3.58+0.98+0.36+2.07+0.272+0.405+5.79+3.89+2.97</f>
        <v>20.317</v>
      </c>
      <c r="K3" s="20">
        <f>3.58+0.98+0.36+2.07+0.879</f>
        <v>7.8689999999999998</v>
      </c>
      <c r="L3" s="20">
        <f>3.58+0.98+0.36+2.07+2.6</f>
        <v>9.59</v>
      </c>
      <c r="M3" s="20">
        <f>2.57+0.455+0.684+0.45+3.06+1.38</f>
        <v>8.5990000000000002</v>
      </c>
      <c r="N3" s="20">
        <f t="shared" ref="N3:P4" si="0">2.57+0.455+0.684+0.45+3.06</f>
        <v>7.2189999999999994</v>
      </c>
      <c r="O3" s="20">
        <f t="shared" si="0"/>
        <v>7.2189999999999994</v>
      </c>
      <c r="P3" s="20">
        <f t="shared" si="0"/>
        <v>7.2189999999999994</v>
      </c>
      <c r="Q3" s="20">
        <f>2.57+0.455+0.684+0.45+3.06+3.1</f>
        <v>10.318999999999999</v>
      </c>
      <c r="R3" s="20">
        <f>2.57+1.39+2.05+9.89</f>
        <v>15.9</v>
      </c>
      <c r="S3" s="20">
        <f>2.57+0.455</f>
        <v>3.0249999999999999</v>
      </c>
      <c r="T3" s="20">
        <f>2.57+0.455+0.684</f>
        <v>3.7090000000000001</v>
      </c>
      <c r="U3" s="20">
        <f>2.57+1.39+0.876</f>
        <v>4.8360000000000003</v>
      </c>
      <c r="V3" s="20">
        <f>2.57+1.39+0.876+5.21</f>
        <v>10.045999999999999</v>
      </c>
      <c r="W3" s="20">
        <f>1.34+2.82+2.13+1.96+4.14+1.23+3.68</f>
        <v>17.3</v>
      </c>
      <c r="X3" s="20">
        <f>1.34+2.82+2.13+1.96+4.14</f>
        <v>12.39</v>
      </c>
      <c r="Y3" s="20">
        <f>1.34+2.82+2.13+1.96</f>
        <v>8.25</v>
      </c>
      <c r="Z3" s="20">
        <f>1.34+2.82+2.13+1.96</f>
        <v>8.25</v>
      </c>
    </row>
    <row r="4" spans="1:26" x14ac:dyDescent="0.25">
      <c r="A4" s="21" t="s">
        <v>29</v>
      </c>
      <c r="B4" s="19">
        <v>1.37</v>
      </c>
      <c r="C4" s="22">
        <v>0</v>
      </c>
      <c r="D4" s="22">
        <v>0</v>
      </c>
      <c r="E4" s="20">
        <f>3.58+0.98</f>
        <v>4.5600000000000005</v>
      </c>
      <c r="F4" s="20">
        <f>3.58+0.98+0.36+2.07+0.272+0.405+1.34</f>
        <v>9.0070000000000014</v>
      </c>
      <c r="G4" s="20">
        <f>3.58+0.98+0.36+2.07</f>
        <v>6.99</v>
      </c>
      <c r="H4" s="20">
        <f>3.58+0.98+0.36+2.07+0.272+0.405+5.79</f>
        <v>13.457000000000001</v>
      </c>
      <c r="I4" s="20">
        <f>3.58+0.98+0.36+2.07+0.272+0.405+5.79+3.89</f>
        <v>17.347000000000001</v>
      </c>
      <c r="J4" s="20">
        <f>3.58+0.98+0.36+2.07+0.272+0.405+5.79+3.89+2.97</f>
        <v>20.317</v>
      </c>
      <c r="K4" s="20">
        <f>3.58+0.98+0.36+2.07+0.879</f>
        <v>7.8689999999999998</v>
      </c>
      <c r="L4" s="20">
        <f>3.58+0.98+0.36+2.07+2.6</f>
        <v>9.59</v>
      </c>
      <c r="M4" s="20">
        <f>2.57+0.455+0.684+0.45+3.06+1.38</f>
        <v>8.5990000000000002</v>
      </c>
      <c r="N4" s="20">
        <f t="shared" si="0"/>
        <v>7.2189999999999994</v>
      </c>
      <c r="O4" s="20">
        <f t="shared" si="0"/>
        <v>7.2189999999999994</v>
      </c>
      <c r="P4" s="20">
        <f t="shared" si="0"/>
        <v>7.2189999999999994</v>
      </c>
      <c r="Q4" s="20">
        <f>2.57+0.455+0.684+0.45+3.06+3.1</f>
        <v>10.318999999999999</v>
      </c>
      <c r="R4" s="20">
        <f>2.57+1.39+2.05+9.89</f>
        <v>15.9</v>
      </c>
      <c r="S4" s="20">
        <f>2.57+0.455</f>
        <v>3.0249999999999999</v>
      </c>
      <c r="T4" s="20">
        <f>2.57+0.455+0.684</f>
        <v>3.7090000000000001</v>
      </c>
      <c r="U4" s="20">
        <f>2.57+1.39+0.876</f>
        <v>4.8360000000000003</v>
      </c>
      <c r="V4" s="20">
        <f>2.57+1.39+0.876+5.21</f>
        <v>10.045999999999999</v>
      </c>
      <c r="W4" s="20">
        <f>1.34+2.82+2.13+1.96+4.14+1.23+3.68</f>
        <v>17.3</v>
      </c>
      <c r="X4" s="20">
        <f>1.34+2.82+2.13+1.96+4.14</f>
        <v>12.39</v>
      </c>
      <c r="Y4" s="20">
        <f>1.34+2.82+2.13+1.96</f>
        <v>8.25</v>
      </c>
      <c r="Z4" s="20">
        <f>1.34+2.82+2.13+1.96</f>
        <v>8.25</v>
      </c>
    </row>
    <row r="5" spans="1:26" x14ac:dyDescent="0.25">
      <c r="A5" s="21" t="s">
        <v>18</v>
      </c>
      <c r="B5" s="19">
        <f>1.37+3.58+0.98</f>
        <v>5.93</v>
      </c>
      <c r="C5" s="20">
        <f>3.58+0.98</f>
        <v>4.5600000000000005</v>
      </c>
      <c r="D5" s="20">
        <f>3.58+0.98</f>
        <v>4.5600000000000005</v>
      </c>
      <c r="E5" s="22">
        <v>0</v>
      </c>
      <c r="F5" s="20">
        <f>0.405+0.272+2.07+0.36</f>
        <v>3.1069999999999998</v>
      </c>
      <c r="G5" s="20">
        <f>0.405+0.272+2.07+0.36</f>
        <v>3.1069999999999998</v>
      </c>
      <c r="H5" s="20">
        <f>5.79+0.405+0.272+2.07+0.36</f>
        <v>8.8970000000000002</v>
      </c>
      <c r="I5" s="20">
        <f>3.89+5.79+0.405+0.272+2.07+0.36</f>
        <v>12.786999999999999</v>
      </c>
      <c r="J5" s="20">
        <f>0.36+2.07+0.272+5.79+3.89+2.97</f>
        <v>15.352000000000002</v>
      </c>
      <c r="K5" s="20">
        <f>0.36+2.07+0.879</f>
        <v>3.3089999999999997</v>
      </c>
      <c r="L5" s="20">
        <f>2.6+2.07+0.36</f>
        <v>5.03</v>
      </c>
      <c r="M5" s="20">
        <f>0.388+2.2+0.293+2.6+2.07+0.36</f>
        <v>7.9110000000000005</v>
      </c>
      <c r="N5" s="20">
        <f>1.38+0.388+2.2+0.293+2.6+2.07+0.36</f>
        <v>9.2910000000000004</v>
      </c>
      <c r="O5" s="20">
        <f>1.38+0.388+2.2+0.293+2.6+2.07+0.36</f>
        <v>9.2910000000000004</v>
      </c>
      <c r="P5" s="20">
        <f>1.38+0.388+2.2+0.293+2.6+2.07+0.36</f>
        <v>9.2910000000000004</v>
      </c>
      <c r="Q5" s="20">
        <f>3.1+1.38+0.388+2.2+0.293+2.6+2.07+0.36</f>
        <v>12.391</v>
      </c>
      <c r="R5" s="20">
        <f>3.72+3.1+1.38+0.388+2.2+0.293+2.6+2.07+0.36</f>
        <v>16.111000000000001</v>
      </c>
      <c r="S5" s="20">
        <f>0.684+0.45+3.06+1.38+0.388+2.2+0.293+2.6+2.07+0.36</f>
        <v>13.484999999999998</v>
      </c>
      <c r="T5" s="20">
        <f>3.06+0.2+1.38+0.388+2.2+0.293+2.6+2.07+0.36</f>
        <v>12.551</v>
      </c>
      <c r="U5" s="20">
        <f>0.876+1.39+2.57+3.58+0.98</f>
        <v>9.3960000000000008</v>
      </c>
      <c r="V5" s="20">
        <f>0.98+3.58+2.57+1.39+0.876+5.21</f>
        <v>14.606000000000002</v>
      </c>
      <c r="W5" s="20">
        <f>4.14+1.96+2.13+4.13+3.58+0.98+3.68</f>
        <v>20.599999999999998</v>
      </c>
      <c r="X5" s="20">
        <f>4.14+1.96+2.13+4.13+3.58+0.98</f>
        <v>16.919999999999998</v>
      </c>
      <c r="Y5" s="20">
        <f>1.96+2.13+4.13+3.58+0.98</f>
        <v>12.78</v>
      </c>
      <c r="Z5" s="20">
        <f>1.96+2.13+4.13+3.58+0.98</f>
        <v>12.78</v>
      </c>
    </row>
    <row r="6" spans="1:26" x14ac:dyDescent="0.25">
      <c r="A6" s="21" t="s">
        <v>9</v>
      </c>
      <c r="B6" s="20">
        <f>3.58+0.98+0.36+2.07+0.272+0.405+1.34</f>
        <v>9.0070000000000014</v>
      </c>
      <c r="C6" s="20">
        <f>3.58+0.98+0.36+2.07+0.272+0.405</f>
        <v>7.6670000000000007</v>
      </c>
      <c r="D6" s="20">
        <f>3.58+0.98+0.36+2.07+0.272+0.405</f>
        <v>7.6670000000000007</v>
      </c>
      <c r="E6" s="20">
        <f>0.405+0.272+2.07+0.36</f>
        <v>3.1069999999999998</v>
      </c>
      <c r="F6" s="22">
        <v>0</v>
      </c>
      <c r="G6" s="22">
        <v>0</v>
      </c>
      <c r="H6" s="20">
        <v>5.79</v>
      </c>
      <c r="I6" s="20">
        <f>3.89+5.79</f>
        <v>9.68</v>
      </c>
      <c r="J6" s="20">
        <f>2.97+3.89+5.79</f>
        <v>12.65</v>
      </c>
      <c r="K6" s="20">
        <f>0.879+0.272+0.405</f>
        <v>1.556</v>
      </c>
      <c r="L6" s="20">
        <f>0.405+0.272+2.6</f>
        <v>3.2770000000000001</v>
      </c>
      <c r="M6" s="20">
        <f>0.388+2.2+0.293+1.81+0.879+0.272+0.405</f>
        <v>6.2470000000000008</v>
      </c>
      <c r="N6" s="20">
        <f t="shared" ref="N6:P7" si="1">0.405+0.272+2.6+0.293+2.2+0.388+1.38</f>
        <v>7.5380000000000003</v>
      </c>
      <c r="O6" s="20">
        <f t="shared" si="1"/>
        <v>7.5380000000000003</v>
      </c>
      <c r="P6" s="20">
        <f t="shared" si="1"/>
        <v>7.5380000000000003</v>
      </c>
      <c r="Q6" s="20">
        <f>0.405+0.272+2.6+0.293+2.2+0.388+1.38+3.1</f>
        <v>10.638</v>
      </c>
      <c r="R6" s="20">
        <f>3.72+3.1+1.38+0.388+2.2+0.293+1.81+0.879+0.272+0.405</f>
        <v>14.446999999999999</v>
      </c>
      <c r="S6" s="20">
        <f>0.405+0.272+2.07+0.36+0.98+3.58+2.57+0.455</f>
        <v>10.692</v>
      </c>
      <c r="T6" s="20">
        <f>0.405+0.272+2.07+0.36+0.98+3.58+2.57+0.455+0.684</f>
        <v>11.375999999999999</v>
      </c>
      <c r="U6" s="23">
        <f>0.405+0.272+2.07+0.36+0.98+3.58+2.57+1.39+0.876</f>
        <v>12.503</v>
      </c>
      <c r="V6" s="23">
        <f>0.405+0.272+2.07+0.36+0.98+3.58+2.57+1.39+0.876+5.21</f>
        <v>17.713000000000001</v>
      </c>
      <c r="W6" s="20">
        <f>0.405+0.272+2.07+0.36+0.98+3.58+1.34+2.82+2.13+1.96+4.14+1.23+3.68</f>
        <v>24.967000000000002</v>
      </c>
      <c r="X6" s="20">
        <f>0.405+0.272+2.07+0.36+0.98+3.58+1.34+2.82+2.13+1.96+4.14</f>
        <v>20.057000000000002</v>
      </c>
      <c r="Y6" s="20">
        <f>0.405+0.272+2.07+0.36+0.98+3.58+1.34+2.82+2.13+1.96</f>
        <v>15.917000000000002</v>
      </c>
      <c r="Z6" s="20">
        <f>0.405+0.272+2.07+0.36+0.98+3.58+1.34+2.82+2.13+1.96</f>
        <v>15.917000000000002</v>
      </c>
    </row>
    <row r="7" spans="1:26" x14ac:dyDescent="0.25">
      <c r="A7" s="21" t="s">
        <v>20</v>
      </c>
      <c r="B7" s="20">
        <f>3.58+0.98+0.36+2.07+0.272+0.405+1.34</f>
        <v>9.0070000000000014</v>
      </c>
      <c r="C7" s="20">
        <f>3.58+0.98+0.36+2.07+0.272+0.405</f>
        <v>7.6670000000000007</v>
      </c>
      <c r="D7" s="20">
        <f>3.58+0.98+0.36+2.07+0.272+0.405</f>
        <v>7.6670000000000007</v>
      </c>
      <c r="E7" s="20">
        <f>0.405+0.272+2.07+0.36</f>
        <v>3.1069999999999998</v>
      </c>
      <c r="F7" s="22">
        <v>0</v>
      </c>
      <c r="G7" s="22">
        <v>0</v>
      </c>
      <c r="H7" s="20">
        <v>5.79</v>
      </c>
      <c r="I7" s="20">
        <f>3.89+5.79</f>
        <v>9.68</v>
      </c>
      <c r="J7" s="20">
        <f>2.97+3.89+5.79</f>
        <v>12.65</v>
      </c>
      <c r="K7" s="20">
        <f>0.879+0.272+0.405</f>
        <v>1.556</v>
      </c>
      <c r="L7" s="20">
        <f>0.405+0.272+2.6</f>
        <v>3.2770000000000001</v>
      </c>
      <c r="M7" s="20">
        <f>0.388+2.2+0.293+1.81+0.879+0.272+0.405</f>
        <v>6.2470000000000008</v>
      </c>
      <c r="N7" s="20">
        <f t="shared" si="1"/>
        <v>7.5380000000000003</v>
      </c>
      <c r="O7" s="20">
        <f t="shared" si="1"/>
        <v>7.5380000000000003</v>
      </c>
      <c r="P7" s="20">
        <f t="shared" si="1"/>
        <v>7.5380000000000003</v>
      </c>
      <c r="Q7" s="20">
        <f>0.405+0.272+2.6+0.293+2.2+0.388+1.38+3.1</f>
        <v>10.638</v>
      </c>
      <c r="R7" s="20">
        <f>3.72+3.1+1.38+0.388+2.2+0.293+1.81+0.879+0.272+0.405</f>
        <v>14.446999999999999</v>
      </c>
      <c r="S7" s="20">
        <f>0.405+0.272+2.07+0.36+0.98+3.58+2.57+0.455</f>
        <v>10.692</v>
      </c>
      <c r="T7" s="20">
        <f>0.405+0.272+2.07+0.36+0.98+3.58+2.57+0.455+0.684</f>
        <v>11.375999999999999</v>
      </c>
      <c r="U7" s="23">
        <f>0.405+0.272+2.07+0.36+0.98+3.58+2.57+1.39+0.876</f>
        <v>12.503</v>
      </c>
      <c r="V7" s="23">
        <f>0.405+0.272+2.07+0.36+0.98+3.58+2.57+1.39+0.876+5.21</f>
        <v>17.713000000000001</v>
      </c>
      <c r="W7" s="20">
        <f>0.405+0.272+2.07+0.36+0.98+3.58+1.34+2.82+2.13+1.96+4.14+1.23+3.68</f>
        <v>24.967000000000002</v>
      </c>
      <c r="X7" s="20">
        <f>0.405+0.272+2.07+0.36+0.98+3.58+1.34+2.82+2.13+1.96+4.14</f>
        <v>20.057000000000002</v>
      </c>
      <c r="Y7" s="20">
        <f>0.405+0.272+2.07+0.36+0.98+3.58+1.34+2.82+2.13+1.96</f>
        <v>15.917000000000002</v>
      </c>
      <c r="Z7" s="20">
        <f>0.405+0.272+2.07+0.36+0.98+3.58+1.34+2.82+2.13+1.96</f>
        <v>15.917000000000002</v>
      </c>
    </row>
    <row r="8" spans="1:26" x14ac:dyDescent="0.25">
      <c r="A8" s="21" t="s">
        <v>21</v>
      </c>
      <c r="B8" s="20">
        <f>3.58+0.98+0.36+2.07+0.272+0.405+5.79+1.34</f>
        <v>14.797000000000001</v>
      </c>
      <c r="C8" s="20">
        <f>3.58+0.98+0.36+2.07+0.272+0.405+5.79</f>
        <v>13.457000000000001</v>
      </c>
      <c r="D8" s="20">
        <f>3.58+0.98+0.36+2.07+0.272+0.405+5.79</f>
        <v>13.457000000000001</v>
      </c>
      <c r="E8" s="20">
        <f>5.79+0.405+0.272+2.07+0.36</f>
        <v>8.8970000000000002</v>
      </c>
      <c r="F8" s="20">
        <v>5.79</v>
      </c>
      <c r="G8" s="20">
        <v>5.79</v>
      </c>
      <c r="H8" s="22">
        <v>0</v>
      </c>
      <c r="I8" s="20">
        <v>3.89</v>
      </c>
      <c r="J8" s="20">
        <f>3.89+2.97</f>
        <v>6.86</v>
      </c>
      <c r="K8" s="20">
        <f>5.79+0.405+0.272+0.879</f>
        <v>7.3460000000000001</v>
      </c>
      <c r="L8" s="20">
        <f>5.79+0.405+0.272+2.6</f>
        <v>9.0670000000000002</v>
      </c>
      <c r="M8" s="20">
        <f>0.388+2.2+0.293+2.6+0.272+0.405+5.79</f>
        <v>11.948</v>
      </c>
      <c r="N8" s="20">
        <f>1.38+0.388+2.2+0.293+2.6+0.272+0.405+5.79</f>
        <v>13.328000000000001</v>
      </c>
      <c r="O8" s="20">
        <f>1.38+0.388+2.2+0.293+2.6+0.272+0.405+5.79</f>
        <v>13.328000000000001</v>
      </c>
      <c r="P8" s="20">
        <f>1.38+0.388+2.2+0.293+2.6+0.272+0.405+5.79</f>
        <v>13.328000000000001</v>
      </c>
      <c r="Q8" s="20">
        <f>3.1+1.38+0.388+2.2+0.293+2.6+0.272+0.405+5.79</f>
        <v>16.428000000000001</v>
      </c>
      <c r="R8" s="20">
        <f>3.72+3.1+1.38+0.388+2.2+0.293+2.6+0.272+0.405+5.79</f>
        <v>20.148</v>
      </c>
      <c r="S8" s="20">
        <f>0.684+0.45+3.06+1.38+0.388+2.2+0.293+2.6+0.272+0.405+5.79</f>
        <v>17.521999999999998</v>
      </c>
      <c r="T8" s="20">
        <f>3.06+0.2+1.38+0.388+2.2+0.293+2.6+0.272+0.405+5.79</f>
        <v>16.588000000000001</v>
      </c>
      <c r="U8" s="20">
        <f>5.79+0.405+0.272+2.07+0.36+0.98+3.58+2.57+1.39+0.876</f>
        <v>18.293000000000003</v>
      </c>
      <c r="V8" s="20">
        <f>5.79+0.405+0.272+2.07+0.36+0.98+3.58+2.57+1.39+0.876+5.21</f>
        <v>23.503000000000004</v>
      </c>
      <c r="W8" s="20">
        <f>4.14+1.96+2.13+4.13+3.58+0.98+0.36+2.07+0.272+0.405+5.79+3.68</f>
        <v>29.496999999999996</v>
      </c>
      <c r="X8" s="20">
        <f>4.14+1.96+2.13+4.13+3.58+0.98+0.36+2.07+0.272+0.405+5.79</f>
        <v>25.816999999999997</v>
      </c>
      <c r="Y8" s="20">
        <f>1.96+2.13+4.13+3.58+0.98+0.36+2.07+0.272+0.405+5.79</f>
        <v>21.677</v>
      </c>
      <c r="Z8" s="20">
        <f>1.96+2.13+4.13+3.58+0.98+0.36+2.07+0.272+0.405+5.79</f>
        <v>21.677</v>
      </c>
    </row>
    <row r="9" spans="1:26" x14ac:dyDescent="0.25">
      <c r="A9" s="21" t="s">
        <v>7</v>
      </c>
      <c r="B9" s="20">
        <f>3.58+0.98+0.36+2.07+0.272+0.405+5.79+3.89+1.34</f>
        <v>18.687000000000001</v>
      </c>
      <c r="C9" s="20">
        <f>3.58+0.98+0.36+2.07+0.272+0.405+5.79+3.89</f>
        <v>17.347000000000001</v>
      </c>
      <c r="D9" s="20">
        <f>3.58+0.98+0.36+2.07+0.272+0.405+5.79+3.89</f>
        <v>17.347000000000001</v>
      </c>
      <c r="E9" s="20">
        <f>3.89+5.79+0.405+0.272+2.07+0.36</f>
        <v>12.786999999999999</v>
      </c>
      <c r="F9" s="20">
        <f>3.89+5.79</f>
        <v>9.68</v>
      </c>
      <c r="G9" s="20">
        <f>3.89+5.79</f>
        <v>9.68</v>
      </c>
      <c r="H9" s="20">
        <v>3.89</v>
      </c>
      <c r="I9" s="22">
        <v>0</v>
      </c>
      <c r="J9" s="20">
        <f>2.97</f>
        <v>2.97</v>
      </c>
      <c r="K9" s="20">
        <f>3.89+5.79+0.405+0.272+0.879</f>
        <v>11.235999999999999</v>
      </c>
      <c r="L9" s="20">
        <f>3.89+5.79+0.405+0.272+2.6</f>
        <v>12.956999999999999</v>
      </c>
      <c r="M9" s="20">
        <f>3.89+5.79+0.405+0.272+0.879+1.81+0.293+2.2+0.388</f>
        <v>15.926999999999998</v>
      </c>
      <c r="N9" s="20">
        <f>3.89+5.79+0.405+0.272+2.6+0.293+2.2+0.388+1.38</f>
        <v>17.218</v>
      </c>
      <c r="O9" s="20">
        <f>3.89+5.79+0.405+0.272+2.6+0.293+2.2+0.388+1.38</f>
        <v>17.218</v>
      </c>
      <c r="P9" s="20">
        <f>3.89+5.79+0.405+0.272+2.6+0.293+2.2+0.388+1.38</f>
        <v>17.218</v>
      </c>
      <c r="Q9" s="20">
        <f>3.89+5.79+0.405+0.272+2.6+0.293+2.2+0.388+1.38+3.1</f>
        <v>20.318000000000001</v>
      </c>
      <c r="R9" s="20">
        <f>3.72+3.1+1.38+0.388+2.2+0.293+1.81+0.879+0.272+0.405+5.79+3.89</f>
        <v>24.126999999999999</v>
      </c>
      <c r="S9" s="20">
        <f>3.89+5.79+0.405+0.272+2.07+0.36+0.98+3.58+2.57+0.455</f>
        <v>20.372</v>
      </c>
      <c r="T9" s="20">
        <f>3.06+0.2+1.38+0.388+2.2+0.293+2.6+0.272+0.405+5.79+3.89</f>
        <v>20.478000000000002</v>
      </c>
      <c r="U9" s="20">
        <f>3.89+5.79+0.405+0.272+2.07+0.36+0.98+3.58+2.57+1.39+0.876</f>
        <v>22.183000000000003</v>
      </c>
      <c r="V9" s="20">
        <f>3.89+5.79+0.405+0.272+2.07+0.36+0.98+3.58+2.57+1.39+0.876+5.21</f>
        <v>27.393000000000004</v>
      </c>
      <c r="W9" s="20">
        <f>4.14+1.96+2.13+4.13+3.58+0.98+0.36+2.07+0.272+0.405+5.79+3.89+3.68</f>
        <v>33.387</v>
      </c>
      <c r="X9" s="20">
        <f>4.14+1.96+2.13+4.13+3.58+0.98+0.36+2.07+0.272+0.405+5.79+3.89</f>
        <v>29.706999999999997</v>
      </c>
      <c r="Y9" s="20">
        <f>1.96+2.13+4.13+3.58+0.98+0.36+2.07+0.272+0.405+5.79+3.89</f>
        <v>25.567</v>
      </c>
      <c r="Z9" s="20">
        <f>1.96+2.13+4.13+3.58+0.98+0.36+2.07+0.272+0.405+5.79+3.89</f>
        <v>25.567</v>
      </c>
    </row>
    <row r="10" spans="1:26" x14ac:dyDescent="0.25">
      <c r="A10" s="21" t="s">
        <v>23</v>
      </c>
      <c r="B10" s="20">
        <f>3.58+0.98+0.36+2.07+0.272+0.405+5.79+3.89+2.97+1.34</f>
        <v>21.657</v>
      </c>
      <c r="C10" s="20">
        <f>3.58+0.98+0.36+2.07+0.272+0.405+5.79+3.89+2.97</f>
        <v>20.317</v>
      </c>
      <c r="D10" s="20">
        <f>3.58+0.98+0.36+2.07+0.272+0.405+5.79+3.89+2.97</f>
        <v>20.317</v>
      </c>
      <c r="E10" s="20">
        <f>0.36+2.07+0.272+5.79+3.89+2.97</f>
        <v>15.352000000000002</v>
      </c>
      <c r="F10" s="20">
        <f>2.97+3.89+5.79</f>
        <v>12.65</v>
      </c>
      <c r="G10" s="20">
        <f>2.97+3.89+5.79</f>
        <v>12.65</v>
      </c>
      <c r="H10" s="20">
        <f>3.89+2.97</f>
        <v>6.86</v>
      </c>
      <c r="I10" s="20">
        <f>2.97</f>
        <v>2.97</v>
      </c>
      <c r="J10" s="22">
        <v>0</v>
      </c>
      <c r="K10" s="20">
        <f>0.879+0.272+0.405+5.79+3.89+2.97</f>
        <v>14.206000000000001</v>
      </c>
      <c r="L10" s="20">
        <f>1.81+0.879+0.272+0.405+5.79+3.89+2.97</f>
        <v>16.016000000000002</v>
      </c>
      <c r="M10" s="20">
        <f>0.388+2.2+0.293+1.81+0.879+0.272+0.405+5.79+3.89+2.97</f>
        <v>18.897000000000002</v>
      </c>
      <c r="N10" s="20">
        <f>1.38+0.388+2.2+0.293+1.81+0.879+0.272+0.405+5.79+3.89+2.97</f>
        <v>20.276999999999997</v>
      </c>
      <c r="O10" s="20">
        <f>1.38+0.388+2.2+0.293+1.81+0.879+0.272+0.405+5.79+3.89+2.97</f>
        <v>20.276999999999997</v>
      </c>
      <c r="P10" s="20">
        <f>1.38+0.388+2.2+0.293+1.81+0.879+0.272+0.405+5.79+3.89+2.97</f>
        <v>20.276999999999997</v>
      </c>
      <c r="Q10" s="20">
        <f>3.1+1.38+0.388+2.2+0.293+1.81+0.879+0.272+0.405+5.79+3.89+2.97</f>
        <v>23.376999999999999</v>
      </c>
      <c r="R10" s="20">
        <f>3.72+3.1+1.38+0.388+2.2+0.293+1.81+0.879+0.272+0.405+5.79+3.89+2.97</f>
        <v>27.096999999999998</v>
      </c>
      <c r="S10" s="20">
        <f>0.684+0.45+3.06+1.38+0.388+2.2+0.293+1.81+0.879+0.272+0.405+5.79+3.89+2.97</f>
        <v>24.470999999999997</v>
      </c>
      <c r="T10" s="20">
        <f>3.06+1.38+0.388+2.2+0.293+1.81+0.879+0.272+0.405+5.79+3.89+2.97</f>
        <v>23.337</v>
      </c>
      <c r="U10" s="20">
        <f>0.876+1.39+0.684+0.45+3.06+1.38+0.388+2.2+0.293+1.81+0.879+0.272+0.405+5.79+3.89+2.97</f>
        <v>26.736999999999998</v>
      </c>
      <c r="V10" s="20">
        <f>5.21+0.876+1.39+0.455+0.684+0.45+3.06+1.38+0.388+2.2+0.293+1.81+0.879+0.272+0.405+5.79+3.89+2.97</f>
        <v>32.402000000000001</v>
      </c>
      <c r="W10" s="20">
        <f>4.14+1.96+2.13+4.13+3.58+0.98+0.36+2.07+0.272+0.405+5.79+3.89+2.97+3.68</f>
        <v>36.356999999999999</v>
      </c>
      <c r="X10" s="20">
        <f>4.14+1.96+2.13+4.13+3.58+0.98+0.36+2.07+0.272+0.405+5.79+3.89+2.97</f>
        <v>32.677</v>
      </c>
      <c r="Y10" s="20">
        <f>1.96+2.13+4.13+3.58+0.98+0.36+2.07+0.272+0.405+5.79+3.89+2.97</f>
        <v>28.536999999999999</v>
      </c>
      <c r="Z10" s="20">
        <f>1.96+2.13+4.13+3.58+0.98+0.36+2.07+0.272+0.405+5.79+3.89+2.97</f>
        <v>28.536999999999999</v>
      </c>
    </row>
    <row r="11" spans="1:26" x14ac:dyDescent="0.25">
      <c r="A11" s="21" t="s">
        <v>22</v>
      </c>
      <c r="B11" s="20">
        <f>3.58+0.98+0.36+2.07+0.879+1.34</f>
        <v>9.2089999999999996</v>
      </c>
      <c r="C11" s="20">
        <f>3.58+0.98+0.36+2.07+0.879</f>
        <v>7.8689999999999998</v>
      </c>
      <c r="D11" s="20">
        <f>3.58+0.98+0.36+2.07+0.879</f>
        <v>7.8689999999999998</v>
      </c>
      <c r="E11" s="20">
        <f>0.36+2.07+0.879</f>
        <v>3.3089999999999997</v>
      </c>
      <c r="F11" s="20">
        <f>0.879+0.272+0.405</f>
        <v>1.556</v>
      </c>
      <c r="G11" s="20">
        <f>0.879+0.272+0.405</f>
        <v>1.556</v>
      </c>
      <c r="H11" s="20">
        <f>5.79+0.405+0.272+0.879</f>
        <v>7.3460000000000001</v>
      </c>
      <c r="I11" s="20">
        <f>3.89+5.79+0.405+0.272+0.879</f>
        <v>11.235999999999999</v>
      </c>
      <c r="J11" s="20">
        <f>0.879+0.272+0.405+5.79+3.89+2.97</f>
        <v>14.206000000000001</v>
      </c>
      <c r="K11" s="22">
        <v>0</v>
      </c>
      <c r="L11" s="20">
        <v>1.81</v>
      </c>
      <c r="M11" s="20">
        <f>0.388+2.2+0.293+1.81</f>
        <v>4.6910000000000007</v>
      </c>
      <c r="N11" s="20">
        <f>1.38+0.388+2.2+0.293+1.81</f>
        <v>6.0709999999999997</v>
      </c>
      <c r="O11" s="20">
        <f>1.38+0.388+2.2+0.293+1.81</f>
        <v>6.0709999999999997</v>
      </c>
      <c r="P11" s="20">
        <f>1.38+0.388+2.2+0.293+1.81</f>
        <v>6.0709999999999997</v>
      </c>
      <c r="Q11" s="20">
        <f>3.1+1.38+0.388+2.2+0.293+1.81</f>
        <v>9.1710000000000012</v>
      </c>
      <c r="R11" s="20">
        <f>3.72+3.1+1.38+0.388+2.2+0.293+1.81</f>
        <v>12.891</v>
      </c>
      <c r="S11" s="20">
        <f>0.684+0.45+3.06+1.38+0.388+2.2+0.293+1.81</f>
        <v>10.264999999999999</v>
      </c>
      <c r="T11" s="20">
        <f>3.06+0.2+1.38+0.388+2.2+0.293+1.81</f>
        <v>9.3310000000000013</v>
      </c>
      <c r="U11" s="20">
        <f>0.876+1.39+0.455+0.684+0.45+3.06+1.38+0.388+2.2+0.293+1.81</f>
        <v>12.986000000000002</v>
      </c>
      <c r="V11" s="20">
        <f>5.21+0.876+1.39+0.455+0.684+0.45+3.06+1.38+0.388+2.2+0.293+1.81</f>
        <v>18.195999999999998</v>
      </c>
      <c r="W11" s="20">
        <f>4.14+1.96+2.13+4.13+3.58+0.98+0.36+2.07+0.879+3.68</f>
        <v>23.908999999999999</v>
      </c>
      <c r="X11" s="20">
        <f>4.14+1.96+2.13+4.13+3.58+0.98+0.36+2.07+0.879</f>
        <v>20.228999999999999</v>
      </c>
      <c r="Y11" s="20">
        <f>1.96+2.13+4.13+3.58+0.98+0.36+2.07+0.879</f>
        <v>16.088999999999999</v>
      </c>
      <c r="Z11" s="20">
        <f>1.96+2.13+4.13+3.58+0.98+0.36+2.07+0.879</f>
        <v>16.088999999999999</v>
      </c>
    </row>
    <row r="12" spans="1:26" x14ac:dyDescent="0.25">
      <c r="A12" s="21" t="s">
        <v>19</v>
      </c>
      <c r="B12" s="20">
        <f>3.58+0.98+0.36+2.07+2.6+1.34</f>
        <v>10.93</v>
      </c>
      <c r="C12" s="20">
        <f>3.58+0.98+0.36+2.07+2.6</f>
        <v>9.59</v>
      </c>
      <c r="D12" s="20">
        <f>3.58+0.98+0.36+2.07+2.6</f>
        <v>9.59</v>
      </c>
      <c r="E12" s="20">
        <f>2.6+2.07+0.36</f>
        <v>5.03</v>
      </c>
      <c r="F12" s="20">
        <f>0.405+0.272+2.6</f>
        <v>3.2770000000000001</v>
      </c>
      <c r="G12" s="20">
        <f>0.405+0.272+2.6</f>
        <v>3.2770000000000001</v>
      </c>
      <c r="H12" s="20">
        <f>5.79+0.405+0.272+2.6</f>
        <v>9.0670000000000002</v>
      </c>
      <c r="I12" s="20">
        <f>3.89+5.79+0.405+0.272+2.6</f>
        <v>12.956999999999999</v>
      </c>
      <c r="J12" s="20">
        <f>1.81+0.879+0.272+0.405+5.79+3.89+2.97</f>
        <v>16.016000000000002</v>
      </c>
      <c r="K12" s="20">
        <v>1.81</v>
      </c>
      <c r="L12" s="22">
        <v>0</v>
      </c>
      <c r="M12" s="20">
        <f>0.388+2.2+0.293</f>
        <v>2.8810000000000002</v>
      </c>
      <c r="N12" s="20">
        <f>1.38+0.388+2.2+0.293</f>
        <v>4.2610000000000001</v>
      </c>
      <c r="O12" s="20">
        <f>1.38+0.388+2.2+0.293</f>
        <v>4.2610000000000001</v>
      </c>
      <c r="P12" s="20">
        <f>1.38+0.388+2.2+0.293</f>
        <v>4.2610000000000001</v>
      </c>
      <c r="Q12" s="20">
        <f>3.1+1.38+0.388+2.2+0.293</f>
        <v>7.3610000000000007</v>
      </c>
      <c r="R12" s="20">
        <f>3.72+3.1+1.38+0.388+2.2+0.293</f>
        <v>11.081</v>
      </c>
      <c r="S12" s="20">
        <f>0.684+0.45+3.06+1.38+0.388+2.2+0.293</f>
        <v>8.4549999999999983</v>
      </c>
      <c r="T12" s="20">
        <f>3.06+0.2+1.38+0.388+2.2+0.293</f>
        <v>7.5210000000000008</v>
      </c>
      <c r="U12" s="20">
        <f>0.876+1.39+0.455+0.684+0.45+3.06+1.38+0.388+2.2+0.293</f>
        <v>11.176000000000002</v>
      </c>
      <c r="V12" s="20">
        <f>5.21+0.876+1.39+0.455+0.684+0.45+3.06+1.38+0.388+2.2+0.293</f>
        <v>16.385999999999999</v>
      </c>
      <c r="W12" s="20">
        <f>4.14+1.96+2.13+4.13+3.58+0.98+0.36+2.07+2.6+3.68</f>
        <v>25.63</v>
      </c>
      <c r="X12" s="20">
        <f>4.14+1.96+2.13+4.13+3.58+0.98+0.36+2.07+2.6</f>
        <v>21.95</v>
      </c>
      <c r="Y12" s="20">
        <f>1.96+2.13+4.13+3.58+0.98+0.36+2.07+2.6</f>
        <v>17.809999999999999</v>
      </c>
      <c r="Z12" s="20">
        <f>1.96+2.13+4.13+3.58+0.98+0.36+2.07+2.6</f>
        <v>17.809999999999999</v>
      </c>
    </row>
    <row r="13" spans="1:26" x14ac:dyDescent="0.25">
      <c r="A13" s="21" t="s">
        <v>2</v>
      </c>
      <c r="B13" s="20">
        <f>2.57+0.455+0.684+0.45+3.06+1.38+1.34</f>
        <v>9.9390000000000001</v>
      </c>
      <c r="C13" s="20">
        <f>2.57+0.455+0.684+0.45+3.06+1.38</f>
        <v>8.5990000000000002</v>
      </c>
      <c r="D13" s="20">
        <f>2.57+0.455+0.684+0.45+3.06+1.38</f>
        <v>8.5990000000000002</v>
      </c>
      <c r="E13" s="20">
        <f>0.388+2.2+0.293+2.6+2.07+0.36</f>
        <v>7.9110000000000005</v>
      </c>
      <c r="F13" s="20">
        <f>0.388+2.2+0.293+1.81+0.879+0.272+0.405</f>
        <v>6.2470000000000008</v>
      </c>
      <c r="G13" s="20">
        <f>0.388+2.2+0.293+1.81+0.879+0.272+0.405</f>
        <v>6.2470000000000008</v>
      </c>
      <c r="H13" s="20">
        <f>0.388+2.2+0.293+2.6+0.272+0.405+5.79</f>
        <v>11.948</v>
      </c>
      <c r="I13" s="20">
        <f>3.89+5.79+0.405+0.272+0.879+1.81+0.293+2.2+0.388</f>
        <v>15.926999999999998</v>
      </c>
      <c r="J13" s="20">
        <f>0.388+2.2+0.293+1.81+0.879+0.272+0.405+5.79+3.89+2.97</f>
        <v>18.897000000000002</v>
      </c>
      <c r="K13" s="20">
        <f>0.388+2.2+0.293+1.81</f>
        <v>4.6910000000000007</v>
      </c>
      <c r="L13" s="20">
        <f>0.388+2.2+0.293</f>
        <v>2.8810000000000002</v>
      </c>
      <c r="M13" s="22">
        <v>0</v>
      </c>
      <c r="N13" s="20">
        <f>1.38</f>
        <v>1.38</v>
      </c>
      <c r="O13" s="20">
        <f>1.38</f>
        <v>1.38</v>
      </c>
      <c r="P13" s="20">
        <f>1.38</f>
        <v>1.38</v>
      </c>
      <c r="Q13" s="20">
        <f>1.38+3.1</f>
        <v>4.4800000000000004</v>
      </c>
      <c r="R13" s="20">
        <f>1.38+3.1+3.72</f>
        <v>8.2000000000000011</v>
      </c>
      <c r="S13" s="20">
        <f>1.38+3.06+0.45+0.684</f>
        <v>5.5739999999999998</v>
      </c>
      <c r="T13" s="20">
        <f>3.06+1.38</f>
        <v>4.4399999999999995</v>
      </c>
      <c r="U13" s="20">
        <f>1.38+3.06+0.45+0.684+0.455+1.39+0.876</f>
        <v>8.2949999999999999</v>
      </c>
      <c r="V13" s="20">
        <f>1.38+3.06+0.45+0.684+0.455+1.39+0.876+5.21</f>
        <v>13.504999999999999</v>
      </c>
      <c r="W13" s="20">
        <f>1.38+3.06+0.45+0.684+0.455+1.39+0.876+5.21+1.46+3.68</f>
        <v>18.645</v>
      </c>
      <c r="X13" s="20">
        <f>1.38+3.06+0.45+0.684+0.455+1.39+0.876+5.21+1.46+1.23</f>
        <v>16.195</v>
      </c>
      <c r="Y13" s="20">
        <f>1.96+2.13+4.13+3.58+0.98+0.36+2.07+0.879+1.81+0.293+2.2+0.388</f>
        <v>20.779999999999998</v>
      </c>
      <c r="Z13" s="20">
        <f>1.96+2.13+4.13+3.58+0.98+0.36+2.07+0.879+1.81+0.293+2.2+0.388</f>
        <v>20.779999999999998</v>
      </c>
    </row>
    <row r="14" spans="1:26" x14ac:dyDescent="0.25">
      <c r="A14" s="21" t="s">
        <v>24</v>
      </c>
      <c r="B14" s="20">
        <f>2.57+0.455+0.684+0.45+3.06+1.34</f>
        <v>8.5589999999999993</v>
      </c>
      <c r="C14" s="20">
        <f t="shared" ref="C14:D16" si="2">2.57+0.455+0.684+0.45+3.06</f>
        <v>7.2189999999999994</v>
      </c>
      <c r="D14" s="20">
        <f t="shared" si="2"/>
        <v>7.2189999999999994</v>
      </c>
      <c r="E14" s="20">
        <f>1.38+0.388+2.2+0.293+2.6+2.07+0.36</f>
        <v>9.2910000000000004</v>
      </c>
      <c r="F14" s="20">
        <f t="shared" ref="F14:G16" si="3">0.405+0.272+2.6+0.293+2.2+0.388+1.38</f>
        <v>7.5380000000000003</v>
      </c>
      <c r="G14" s="20">
        <f t="shared" si="3"/>
        <v>7.5380000000000003</v>
      </c>
      <c r="H14" s="20">
        <f>1.38+0.388+2.2+0.293+2.6+0.272+0.405+5.79</f>
        <v>13.328000000000001</v>
      </c>
      <c r="I14" s="20">
        <f>3.89+5.79+0.405+0.272+2.6+0.293+2.2+0.388+1.38</f>
        <v>17.218</v>
      </c>
      <c r="J14" s="20">
        <f>1.38+0.388+2.2+0.293+1.81+0.879+0.272+0.405+5.79+3.89+2.97</f>
        <v>20.276999999999997</v>
      </c>
      <c r="K14" s="20">
        <f>1.38+0.388+2.2+0.293+1.81</f>
        <v>6.0709999999999997</v>
      </c>
      <c r="L14" s="20">
        <f>1.38+0.388+2.2+0.293</f>
        <v>4.2610000000000001</v>
      </c>
      <c r="M14" s="20">
        <f>1.38</f>
        <v>1.38</v>
      </c>
      <c r="N14" s="22">
        <v>0</v>
      </c>
      <c r="O14" s="22">
        <v>0</v>
      </c>
      <c r="P14" s="22">
        <v>0</v>
      </c>
      <c r="Q14" s="20">
        <v>3.1</v>
      </c>
      <c r="R14" s="20">
        <f>3.72+3.1</f>
        <v>6.82</v>
      </c>
      <c r="S14" s="20">
        <f>3.06+0.45+0.684</f>
        <v>4.194</v>
      </c>
      <c r="T14" s="20">
        <f>3.06+0.2</f>
        <v>3.2600000000000002</v>
      </c>
      <c r="U14" s="20">
        <f>3.06+0.45+0.684+0.455+1.39+0.876</f>
        <v>6.915</v>
      </c>
      <c r="V14" s="20">
        <f>3.06+0.45+0.684+0.455+1.39+0.876+5.21</f>
        <v>12.125</v>
      </c>
      <c r="W14" s="20">
        <f>1.23+1.46+5.21+0.876+1.39+0.455+0.684+0.45+3.06+3.68</f>
        <v>18.495000000000001</v>
      </c>
      <c r="X14" s="20">
        <v>13.815</v>
      </c>
      <c r="Y14" s="20">
        <f t="shared" ref="Y14:Z16" si="4">1.96+2.13+4.13+2.57+0.455+0.684+0.45+3.06</f>
        <v>15.438999999999998</v>
      </c>
      <c r="Z14" s="20">
        <f t="shared" si="4"/>
        <v>15.438999999999998</v>
      </c>
    </row>
    <row r="15" spans="1:26" x14ac:dyDescent="0.25">
      <c r="A15" s="21" t="s">
        <v>8</v>
      </c>
      <c r="B15" s="20">
        <f>2.57+0.455+0.684+0.45+3.06+1.34</f>
        <v>8.5589999999999993</v>
      </c>
      <c r="C15" s="20">
        <f t="shared" si="2"/>
        <v>7.2189999999999994</v>
      </c>
      <c r="D15" s="20">
        <f t="shared" si="2"/>
        <v>7.2189999999999994</v>
      </c>
      <c r="E15" s="20">
        <f>1.38+0.388+2.2+0.293+2.6+2.07+0.36</f>
        <v>9.2910000000000004</v>
      </c>
      <c r="F15" s="20">
        <f t="shared" si="3"/>
        <v>7.5380000000000003</v>
      </c>
      <c r="G15" s="20">
        <f t="shared" si="3"/>
        <v>7.5380000000000003</v>
      </c>
      <c r="H15" s="20">
        <f>1.38+0.388+2.2+0.293+2.6+0.272+0.405+5.79</f>
        <v>13.328000000000001</v>
      </c>
      <c r="I15" s="20">
        <f>3.89+5.79+0.405+0.272+2.6+0.293+2.2+0.388+1.38</f>
        <v>17.218</v>
      </c>
      <c r="J15" s="20">
        <f t="shared" ref="J15:J16" si="5">1.38+0.388+2.2+0.293+1.81+0.879+0.272+0.405+5.79+3.89+2.97</f>
        <v>20.276999999999997</v>
      </c>
      <c r="K15" s="20">
        <f>1.38+0.388+2.2+0.293+1.81</f>
        <v>6.0709999999999997</v>
      </c>
      <c r="L15" s="20">
        <f>1.38+0.388+2.2+0.293</f>
        <v>4.2610000000000001</v>
      </c>
      <c r="M15" s="20">
        <f>1.38</f>
        <v>1.38</v>
      </c>
      <c r="N15" s="22">
        <v>0</v>
      </c>
      <c r="O15" s="22">
        <v>0</v>
      </c>
      <c r="P15" s="22">
        <v>0</v>
      </c>
      <c r="Q15" s="20">
        <v>3.1</v>
      </c>
      <c r="R15" s="20">
        <f>3.72+3.1</f>
        <v>6.82</v>
      </c>
      <c r="S15" s="20">
        <f>3.06+0.45+0.684</f>
        <v>4.194</v>
      </c>
      <c r="T15" s="20">
        <f>3.06+0.2</f>
        <v>3.2600000000000002</v>
      </c>
      <c r="U15" s="20">
        <f>3.06+0.45+0.684+0.455+1.39+0.876</f>
        <v>6.915</v>
      </c>
      <c r="V15" s="20">
        <f>3.06+0.45+0.684+0.455+1.39+0.876+5.21</f>
        <v>12.125</v>
      </c>
      <c r="W15" s="20">
        <f>1.23+1.46+5.21+0.876+1.39+0.455+0.684+0.45+3.06+3.68</f>
        <v>18.495000000000001</v>
      </c>
      <c r="X15" s="20">
        <v>14.815</v>
      </c>
      <c r="Y15" s="20">
        <f t="shared" si="4"/>
        <v>15.438999999999998</v>
      </c>
      <c r="Z15" s="20">
        <f t="shared" si="4"/>
        <v>15.438999999999998</v>
      </c>
    </row>
    <row r="16" spans="1:26" x14ac:dyDescent="0.25">
      <c r="A16" s="21" t="s">
        <v>30</v>
      </c>
      <c r="B16" s="20">
        <f>2.57+0.455+0.684+0.45+3.06+1.34</f>
        <v>8.5589999999999993</v>
      </c>
      <c r="C16" s="20">
        <f t="shared" si="2"/>
        <v>7.2189999999999994</v>
      </c>
      <c r="D16" s="20">
        <f t="shared" si="2"/>
        <v>7.2189999999999994</v>
      </c>
      <c r="E16" s="20">
        <f>1.38+0.388+2.2+0.293+2.6+2.07+0.36</f>
        <v>9.2910000000000004</v>
      </c>
      <c r="F16" s="20">
        <f t="shared" si="3"/>
        <v>7.5380000000000003</v>
      </c>
      <c r="G16" s="20">
        <f t="shared" si="3"/>
        <v>7.5380000000000003</v>
      </c>
      <c r="H16" s="20">
        <f>1.38+0.388+2.2+0.293+2.6+0.272+0.405+5.79</f>
        <v>13.328000000000001</v>
      </c>
      <c r="I16" s="20">
        <f>3.89+5.79+0.405+0.272+2.6+0.293+2.2+0.388+1.38</f>
        <v>17.218</v>
      </c>
      <c r="J16" s="20">
        <f t="shared" si="5"/>
        <v>20.276999999999997</v>
      </c>
      <c r="K16" s="20">
        <f>1.38+0.388+2.2+0.293+1.81</f>
        <v>6.0709999999999997</v>
      </c>
      <c r="L16" s="20">
        <f>1.38+0.388+2.2+0.293</f>
        <v>4.2610000000000001</v>
      </c>
      <c r="M16" s="20">
        <f>1.38</f>
        <v>1.38</v>
      </c>
      <c r="N16" s="22">
        <v>0</v>
      </c>
      <c r="O16" s="22">
        <v>0</v>
      </c>
      <c r="P16" s="22">
        <v>0</v>
      </c>
      <c r="Q16" s="20">
        <v>3.1</v>
      </c>
      <c r="R16" s="20">
        <f>3.72+3.1</f>
        <v>6.82</v>
      </c>
      <c r="S16" s="20">
        <f>3.06+0.45+0.684</f>
        <v>4.194</v>
      </c>
      <c r="T16" s="20">
        <f>3.06+0.2</f>
        <v>3.2600000000000002</v>
      </c>
      <c r="U16" s="20">
        <f>3.06+0.45+0.684+0.455+1.39+0.876</f>
        <v>6.915</v>
      </c>
      <c r="V16" s="20">
        <f>3.06+0.45+0.684+0.455+1.39+0.876+5.21</f>
        <v>12.125</v>
      </c>
      <c r="W16" s="20">
        <f>1.23+1.46+5.21+0.876+1.39+0.455+0.684+0.45+3.06+3.68</f>
        <v>18.495000000000001</v>
      </c>
      <c r="X16" s="20">
        <v>15.815</v>
      </c>
      <c r="Y16" s="20">
        <f t="shared" si="4"/>
        <v>15.438999999999998</v>
      </c>
      <c r="Z16" s="20">
        <f t="shared" si="4"/>
        <v>15.438999999999998</v>
      </c>
    </row>
    <row r="17" spans="1:26" x14ac:dyDescent="0.25">
      <c r="A17" s="21" t="s">
        <v>0</v>
      </c>
      <c r="B17" s="20">
        <f>2.57+0.455+0.684+0.45+3.06+3.1+1.34</f>
        <v>11.658999999999999</v>
      </c>
      <c r="C17" s="20">
        <f>2.57+0.455+0.684+0.45+3.06+3.1</f>
        <v>10.318999999999999</v>
      </c>
      <c r="D17" s="20">
        <f>2.57+0.455+0.684+0.45+3.06+3.1</f>
        <v>10.318999999999999</v>
      </c>
      <c r="E17" s="20">
        <f>3.1+1.38+0.388+2.2+0.293+2.6+2.07+0.36</f>
        <v>12.391</v>
      </c>
      <c r="F17" s="20">
        <f>0.405+0.272+2.6+0.293+2.2+0.388+1.38+3.1</f>
        <v>10.638</v>
      </c>
      <c r="G17" s="20">
        <f>0.405+0.272+2.6+0.293+2.2+0.388+1.38+3.1</f>
        <v>10.638</v>
      </c>
      <c r="H17" s="20">
        <f>3.1+1.38+0.388+2.2+0.293+2.6+0.272+0.405+5.79</f>
        <v>16.428000000000001</v>
      </c>
      <c r="I17" s="20">
        <f>3.89+5.79+0.405+0.272+2.6+0.293+2.2+0.388+1.38+3.1</f>
        <v>20.318000000000001</v>
      </c>
      <c r="J17" s="20">
        <f>3.1+1.38+0.388+2.2+0.293+1.81+0.879+0.272+0.405+5.79+3.89+2.97</f>
        <v>23.376999999999999</v>
      </c>
      <c r="K17" s="20">
        <f>3.1+1.38+0.388+2.2+0.293+1.81</f>
        <v>9.1710000000000012</v>
      </c>
      <c r="L17" s="20">
        <f>3.1+1.38+0.388+2.2+0.293</f>
        <v>7.3610000000000007</v>
      </c>
      <c r="M17" s="20">
        <f>1.38+3.1</f>
        <v>4.4800000000000004</v>
      </c>
      <c r="N17" s="20">
        <v>2.1</v>
      </c>
      <c r="O17" s="20">
        <v>3.1</v>
      </c>
      <c r="P17" s="20">
        <v>3.1</v>
      </c>
      <c r="Q17" s="22">
        <v>0</v>
      </c>
      <c r="R17" s="20">
        <v>3.72</v>
      </c>
      <c r="S17" s="20">
        <f>3.1+3.06+0.45+0.684</f>
        <v>7.2940000000000005</v>
      </c>
      <c r="T17" s="20">
        <f>3.06+0.2+3.1</f>
        <v>6.36</v>
      </c>
      <c r="U17" s="20">
        <f>3.1+3.06+0.45+0.684+0.455+1.39+0.876</f>
        <v>10.015000000000001</v>
      </c>
      <c r="V17" s="20">
        <f>3.1+3.06+0.45+0.684+0.455+1.39+0.876+5.21</f>
        <v>15.225000000000001</v>
      </c>
      <c r="W17" s="20">
        <f>1.23+1.46+5.21+0.876+1.39+0.455+0.684+0.45+3.06+3.1+3.68</f>
        <v>21.594999999999999</v>
      </c>
      <c r="X17" s="20">
        <f>1.23+1.46+5.21+0.876+1.39+0.455+0.684+0.45+3.06+3.1</f>
        <v>17.914999999999999</v>
      </c>
      <c r="Y17" s="20">
        <f>1.96+2.13+4.13+2.57+0.455+0.684+0.45+3.06+3.1</f>
        <v>18.538999999999998</v>
      </c>
      <c r="Z17" s="20">
        <f>1.96+2.13+4.13+2.57+0.455+0.684+0.45+3.06+3.1</f>
        <v>18.538999999999998</v>
      </c>
    </row>
    <row r="18" spans="1:26" x14ac:dyDescent="0.25">
      <c r="A18" s="21" t="s">
        <v>3</v>
      </c>
      <c r="B18" s="20">
        <f>1.34+2.57+1.39+2.05+9.89</f>
        <v>17.240000000000002</v>
      </c>
      <c r="C18" s="20">
        <f>2.57+1.39+2.05+9.89</f>
        <v>15.9</v>
      </c>
      <c r="D18" s="20">
        <f>2.57+1.39+2.05+9.89</f>
        <v>15.9</v>
      </c>
      <c r="E18" s="20">
        <f>3.72+3.1+1.38+0.388+2.2+0.293+2.6+2.07+0.36</f>
        <v>16.111000000000001</v>
      </c>
      <c r="F18" s="20">
        <f>3.72+3.1+1.38+0.388+2.2+0.293+1.81+0.879+0.272+0.405</f>
        <v>14.446999999999999</v>
      </c>
      <c r="G18" s="20">
        <f>3.72+3.1+1.38+0.388+2.2+0.293+1.81+0.879+0.272+0.405</f>
        <v>14.446999999999999</v>
      </c>
      <c r="H18" s="20">
        <f>3.72+3.1+1.38+0.388+2.2+0.293+2.6+0.272+0.405+5.79</f>
        <v>20.148</v>
      </c>
      <c r="I18" s="20">
        <f>3.72+3.1+1.38+0.388+2.2+0.293+1.81+0.879+0.272+0.405+5.79+3.89</f>
        <v>24.126999999999999</v>
      </c>
      <c r="J18" s="20">
        <f>3.72+3.1+1.38+0.388+2.2+0.293+1.81+0.879+0.272+0.405+5.79+3.89+2.97</f>
        <v>27.096999999999998</v>
      </c>
      <c r="K18" s="20">
        <f>3.72+3.1+1.38+0.388+2.2+0.293+1.81</f>
        <v>12.891</v>
      </c>
      <c r="L18" s="20">
        <f>3.72+3.1+1.38+0.388+2.2+0.293</f>
        <v>11.081</v>
      </c>
      <c r="M18" s="20">
        <f>1.38+3.1+3.72</f>
        <v>8.2000000000000011</v>
      </c>
      <c r="N18" s="20">
        <f>3.72+3.1</f>
        <v>6.82</v>
      </c>
      <c r="O18" s="20">
        <f>3.72+3.1</f>
        <v>6.82</v>
      </c>
      <c r="P18" s="20">
        <f>3.72+3.1</f>
        <v>6.82</v>
      </c>
      <c r="Q18" s="20">
        <v>3.72</v>
      </c>
      <c r="R18" s="22">
        <v>0</v>
      </c>
      <c r="S18" s="20">
        <f>3.72+3.1+3.06+0.45+0.684</f>
        <v>11.013999999999999</v>
      </c>
      <c r="T18" s="20">
        <f>3.72+3.1+3.06</f>
        <v>9.8800000000000008</v>
      </c>
      <c r="U18" s="20">
        <f>9.89+2.05+0.876</f>
        <v>12.816000000000001</v>
      </c>
      <c r="V18" s="20">
        <f>9.89+2.05+0.876+5.21</f>
        <v>18.026</v>
      </c>
      <c r="W18" s="20">
        <f>3.68+1.46+5.21+0.876+2.05+9.89</f>
        <v>23.166</v>
      </c>
      <c r="X18" s="20">
        <f>1.23+1.46+5.21+0.876+2.05+9.89</f>
        <v>20.716000000000001</v>
      </c>
      <c r="Y18" s="20">
        <f>3.72+3.1+3.06+0.45+0.684+0.455+2.57+1.34+2.82+2.13+1.96</f>
        <v>22.288999999999998</v>
      </c>
      <c r="Z18" s="20">
        <f>3.72+3.1+3.06+0.45+0.684+0.455+2.57+1.34+2.82+2.13+1.96</f>
        <v>22.288999999999998</v>
      </c>
    </row>
    <row r="19" spans="1:26" x14ac:dyDescent="0.25">
      <c r="A19" s="21" t="s">
        <v>25</v>
      </c>
      <c r="B19" s="20">
        <f>2.57+0.455+1.34</f>
        <v>4.3650000000000002</v>
      </c>
      <c r="C19" s="20">
        <f>2.57+0.455</f>
        <v>3.0249999999999999</v>
      </c>
      <c r="D19" s="20">
        <f>2.57+0.455</f>
        <v>3.0249999999999999</v>
      </c>
      <c r="E19" s="20">
        <f>0.455+2.57+3.58+0.98</f>
        <v>7.5850000000000009</v>
      </c>
      <c r="F19" s="20">
        <f>0.405+0.272+2.07+0.36+0.98+3.58+2.57+0.455</f>
        <v>10.692</v>
      </c>
      <c r="G19" s="20">
        <f>0.405+0.272+2.07+0.36+0.98+3.58+2.57+0.455</f>
        <v>10.692</v>
      </c>
      <c r="H19" s="20">
        <f>0.684+0.45+3.06+1.38+0.388+2.2+0.293+2.6+0.272+0.405+5.79</f>
        <v>17.521999999999998</v>
      </c>
      <c r="I19" s="20">
        <f>3.89+5.79+0.405+0.272+2.07+0.36+0.98+3.58+2.57+0.455</f>
        <v>20.372</v>
      </c>
      <c r="J19" s="20">
        <f>0.684+0.45+3.06+1.38+0.388+2.2+0.293+1.81+0.879+0.272+0.405+5.79+3.89+2.97</f>
        <v>24.470999999999997</v>
      </c>
      <c r="K19" s="20">
        <f>0.684+0.45+3.06+1.38+0.388+2.2+0.293+1.81</f>
        <v>10.264999999999999</v>
      </c>
      <c r="L19" s="20">
        <f>0.684+0.45+3.06+1.38+0.388+2.2+0.293</f>
        <v>8.4549999999999983</v>
      </c>
      <c r="M19" s="20">
        <f>1.38+3.06+0.45+0.684</f>
        <v>5.5739999999999998</v>
      </c>
      <c r="N19" s="20">
        <f>3.06+0.45+0.684</f>
        <v>4.194</v>
      </c>
      <c r="O19" s="20">
        <f>3.06+0.45+0.684</f>
        <v>4.194</v>
      </c>
      <c r="P19" s="20">
        <f>3.06+0.45+0.684</f>
        <v>4.194</v>
      </c>
      <c r="Q19" s="20">
        <f>3.1+3.06+0.45+0.684</f>
        <v>7.2940000000000005</v>
      </c>
      <c r="R19" s="20">
        <f>3.72+3.1+3.06+0.45+0.684</f>
        <v>11.013999999999999</v>
      </c>
      <c r="S19" s="22">
        <v>0</v>
      </c>
      <c r="T19" s="20">
        <f>0.684</f>
        <v>0.68400000000000005</v>
      </c>
      <c r="U19" s="20">
        <f>0.455+1.39+0.876</f>
        <v>2.7210000000000001</v>
      </c>
      <c r="V19" s="20">
        <f>0.455+1.39+0.876+5.21</f>
        <v>7.931</v>
      </c>
      <c r="W19" s="20">
        <f>1.23+1.46+5.21+0.876+1.39+0.455+3.68</f>
        <v>14.301</v>
      </c>
      <c r="X19" s="20">
        <f>1.23+1.46+5.21+0.876+1.39+0.455</f>
        <v>10.621</v>
      </c>
      <c r="Y19" s="20">
        <f>1.96+2.13+4.13+2.57+0.455</f>
        <v>11.244999999999999</v>
      </c>
      <c r="Z19" s="20">
        <f>1.96+2.13+4.13+2.57+0.455</f>
        <v>11.244999999999999</v>
      </c>
    </row>
    <row r="20" spans="1:26" x14ac:dyDescent="0.25">
      <c r="A20" s="21" t="s">
        <v>5</v>
      </c>
      <c r="B20" s="20">
        <f>1.34+2.57+0.455+0.684</f>
        <v>5.0490000000000004</v>
      </c>
      <c r="C20" s="20">
        <f>2.57+0.455+0.684</f>
        <v>3.7090000000000001</v>
      </c>
      <c r="D20" s="20">
        <f>2.57+0.455+0.684</f>
        <v>3.7090000000000001</v>
      </c>
      <c r="E20" s="20">
        <f>3.06+0.2+1.38+0.388+2.2+0.293+2.6+2.07+0.36</f>
        <v>12.551</v>
      </c>
      <c r="F20" s="20">
        <f>0.405+0.272+2.07+0.36+0.98+3.58+2.57+0.455+0.684</f>
        <v>11.375999999999999</v>
      </c>
      <c r="G20" s="20">
        <f>0.405+0.272+2.07+0.36+0.98+3.58+2.57+0.455+0.684</f>
        <v>11.375999999999999</v>
      </c>
      <c r="H20" s="20">
        <f>3.06+0.2+1.38+0.388+2.2+0.293+2.6+0.272+0.405+5.79</f>
        <v>16.588000000000001</v>
      </c>
      <c r="I20" s="20">
        <f>3.06+0.2+1.38+0.388+2.2+0.293+2.6+0.272+0.405+5.79+3.89</f>
        <v>20.478000000000002</v>
      </c>
      <c r="J20" s="20">
        <f>3.06+1.38+0.388+2.2+0.293+1.81+0.879+0.272+0.405+5.79+3.89+2.97</f>
        <v>23.337</v>
      </c>
      <c r="K20" s="20">
        <f>3.06+0.2+1.38+0.388+2.2+0.293+1.81</f>
        <v>9.3310000000000013</v>
      </c>
      <c r="L20" s="20">
        <f>3.06+0.2+1.38+0.388+2.2+0.293</f>
        <v>7.5210000000000008</v>
      </c>
      <c r="M20" s="20">
        <f>3.06+1.38</f>
        <v>4.4399999999999995</v>
      </c>
      <c r="N20" s="20">
        <f>3.06+0.2</f>
        <v>3.2600000000000002</v>
      </c>
      <c r="O20" s="20">
        <f>3.06+0.2</f>
        <v>3.2600000000000002</v>
      </c>
      <c r="P20" s="20">
        <f>3.06+0.2</f>
        <v>3.2600000000000002</v>
      </c>
      <c r="Q20" s="20">
        <f>3.06+0.2+3.1</f>
        <v>6.36</v>
      </c>
      <c r="R20" s="20">
        <f>3.72+3.1+3.06</f>
        <v>9.8800000000000008</v>
      </c>
      <c r="S20" s="20">
        <f>0.684</f>
        <v>0.68400000000000005</v>
      </c>
      <c r="T20" s="22">
        <v>0</v>
      </c>
      <c r="U20" s="20">
        <f>0.684+0.455+1.39+0.876</f>
        <v>3.4049999999999998</v>
      </c>
      <c r="V20" s="20">
        <f>0.684+0.455+1.39+0.876+5.21</f>
        <v>8.6150000000000002</v>
      </c>
      <c r="W20" s="20">
        <f>0.684+0.455+1.39+0.876+5.21+1.46+3.68</f>
        <v>13.754999999999999</v>
      </c>
      <c r="X20" s="20">
        <f>0.684+0.455+1.39+0.876+5.21+1.46+1.23</f>
        <v>11.305</v>
      </c>
      <c r="Y20" s="20">
        <f>1.96+2.13+2.82+1.34+2.57+0.455+0.684</f>
        <v>11.959</v>
      </c>
      <c r="Z20" s="20">
        <f>1.96+2.13+2.82+1.34+2.57+0.455+0.684</f>
        <v>11.959</v>
      </c>
    </row>
    <row r="21" spans="1:26" x14ac:dyDescent="0.25">
      <c r="A21" s="21" t="s">
        <v>17</v>
      </c>
      <c r="B21" s="20">
        <f>2.57+1.39+0.876+1.34</f>
        <v>6.1760000000000002</v>
      </c>
      <c r="C21" s="20">
        <f>2.57+1.39+0.876</f>
        <v>4.8360000000000003</v>
      </c>
      <c r="D21" s="20">
        <f>2.57+1.39+0.876</f>
        <v>4.8360000000000003</v>
      </c>
      <c r="E21" s="20">
        <f>0.876+1.39+2.57+3.58+0.98</f>
        <v>9.3960000000000008</v>
      </c>
      <c r="F21" s="23">
        <f>0.405+0.272+2.07+0.36+0.98+3.58+2.57+1.39+0.876</f>
        <v>12.503</v>
      </c>
      <c r="G21" s="23">
        <f>0.405+0.272+2.07+0.36+0.98+3.58+2.57+1.39+0.876</f>
        <v>12.503</v>
      </c>
      <c r="H21" s="20">
        <f>5.79+0.405+0.272+2.07+0.36+0.98+3.58+2.57+1.39+0.876</f>
        <v>18.293000000000003</v>
      </c>
      <c r="I21" s="20">
        <f>3.89+5.79+0.405+0.272+2.07+0.36+0.98+3.58+2.57+1.39+0.876</f>
        <v>22.183000000000003</v>
      </c>
      <c r="J21" s="20">
        <f>0.876+1.39+0.684+0.45+3.06+1.38+0.388+2.2+0.293+1.81+0.879+0.272+0.405+5.79+3.89+2.97</f>
        <v>26.736999999999998</v>
      </c>
      <c r="K21" s="20">
        <f>0.876+1.39+0.455+0.684+0.45+3.06+1.38+0.388+2.2+0.293+1.81</f>
        <v>12.986000000000002</v>
      </c>
      <c r="L21" s="20">
        <f>0.876+1.39+0.455+0.684+0.45+3.06+1.38+0.388+2.2+0.293</f>
        <v>11.176000000000002</v>
      </c>
      <c r="M21" s="20">
        <f>1.38+3.06+0.45+0.684+0.455+1.39+0.876</f>
        <v>8.2949999999999999</v>
      </c>
      <c r="N21" s="20">
        <f>3.06+0.45+0.684+0.455+1.39+0.876</f>
        <v>6.915</v>
      </c>
      <c r="O21" s="20">
        <f>3.06+0.45+0.684+0.455+1.39+0.876</f>
        <v>6.915</v>
      </c>
      <c r="P21" s="20">
        <f>3.06+0.45+0.684+0.455+1.39+0.876</f>
        <v>6.915</v>
      </c>
      <c r="Q21" s="20">
        <f>3.1+3.06+0.45+0.684+0.455+1.39+0.876</f>
        <v>10.015000000000001</v>
      </c>
      <c r="R21" s="20">
        <f>9.89+2.05+0.876</f>
        <v>12.816000000000001</v>
      </c>
      <c r="S21" s="20">
        <f>0.455+1.39+0.876</f>
        <v>2.7210000000000001</v>
      </c>
      <c r="T21" s="20">
        <f>0.684+0.455+1.39+0.876</f>
        <v>3.4049999999999998</v>
      </c>
      <c r="U21" s="22">
        <v>0</v>
      </c>
      <c r="V21" s="20">
        <v>5.21</v>
      </c>
      <c r="W21" s="20">
        <f>1.23+1.46+5.21+3.68</f>
        <v>11.58</v>
      </c>
      <c r="X21" s="20">
        <f>1.23+1.46+5.21</f>
        <v>7.9</v>
      </c>
      <c r="Y21" s="20">
        <f>4.14+1.23+1.46+5.21</f>
        <v>12.04</v>
      </c>
      <c r="Z21" s="20">
        <f>4.14+1.23+1.46+5.21</f>
        <v>12.04</v>
      </c>
    </row>
    <row r="22" spans="1:26" x14ac:dyDescent="0.25">
      <c r="A22" s="21" t="s">
        <v>26</v>
      </c>
      <c r="B22" s="20">
        <f>2.57+1.39+0.876+5.21+1.34</f>
        <v>11.385999999999999</v>
      </c>
      <c r="C22" s="20">
        <f>2.57+1.39+0.876+5.21</f>
        <v>10.045999999999999</v>
      </c>
      <c r="D22" s="20">
        <f>2.57+1.39+0.876+5.21</f>
        <v>10.045999999999999</v>
      </c>
      <c r="E22" s="20">
        <f>0.98+3.58+2.57+1.39+0.876+5.21</f>
        <v>14.606000000000002</v>
      </c>
      <c r="F22" s="23">
        <f>0.405+0.272+2.07+0.36+0.98+3.58+2.57+1.39+0.876+5.21</f>
        <v>17.713000000000001</v>
      </c>
      <c r="G22" s="23">
        <f>0.405+0.272+2.07+0.36+0.98+3.58+2.57+1.39+0.876+5.21</f>
        <v>17.713000000000001</v>
      </c>
      <c r="H22" s="20">
        <f>5.79+0.405+0.272+2.07+0.36+0.98+3.58+2.57+1.39+0.876+5.21</f>
        <v>23.503000000000004</v>
      </c>
      <c r="I22" s="20">
        <f>3.89+5.79+0.405+0.272+2.07+0.36+0.98+3.58+2.57+1.39+0.876+5.21</f>
        <v>27.393000000000004</v>
      </c>
      <c r="J22" s="20">
        <f>5.21+0.876+1.39+0.455+0.684+0.45+3.06+1.38+0.388+2.2+0.293+1.81+0.879+0.272+0.405+5.79+3.89+2.97</f>
        <v>32.402000000000001</v>
      </c>
      <c r="K22" s="20">
        <f>5.21+0.876+1.39+0.455+0.684+0.45+3.06+1.38+0.388+2.2+0.293+1.81</f>
        <v>18.195999999999998</v>
      </c>
      <c r="L22" s="20">
        <f>5.21+0.876+1.39+0.455+0.684+0.45+3.06+1.38+0.388+2.2+0.293</f>
        <v>16.385999999999999</v>
      </c>
      <c r="M22" s="20">
        <f>1.38+3.06+0.45+0.684+0.455+1.39+0.876+5.21</f>
        <v>13.504999999999999</v>
      </c>
      <c r="N22" s="20">
        <f>3.06+0.45+0.684+0.455+1.39+0.876+5.21</f>
        <v>12.125</v>
      </c>
      <c r="O22" s="20">
        <f>3.06+0.45+0.684+0.455+1.39+0.876+5.21</f>
        <v>12.125</v>
      </c>
      <c r="P22" s="20">
        <f>3.06+0.45+0.684+0.455+1.39+0.876+5.21</f>
        <v>12.125</v>
      </c>
      <c r="Q22" s="20">
        <f>3.1+3.06+0.45+0.684+0.455+1.39+0.876+5.21</f>
        <v>15.225000000000001</v>
      </c>
      <c r="R22" s="20">
        <f>9.89+2.05+0.876+5.21</f>
        <v>18.026</v>
      </c>
      <c r="S22" s="20">
        <f>0.455+1.39+0.876+5.21</f>
        <v>7.931</v>
      </c>
      <c r="T22" s="20">
        <f>0.684+0.455+1.39+0.876+5.21</f>
        <v>8.6150000000000002</v>
      </c>
      <c r="U22" s="20">
        <v>5.21</v>
      </c>
      <c r="V22" s="22">
        <v>0</v>
      </c>
      <c r="W22" s="20">
        <f>1.23+1.46+3.68</f>
        <v>6.37</v>
      </c>
      <c r="X22" s="20">
        <f>1.23+1.46</f>
        <v>2.69</v>
      </c>
      <c r="Y22" s="20">
        <f>4.14+1.23+1.46</f>
        <v>6.8299999999999992</v>
      </c>
      <c r="Z22" s="20">
        <f>4.14+1.23+1.46</f>
        <v>6.8299999999999992</v>
      </c>
    </row>
    <row r="23" spans="1:26" x14ac:dyDescent="0.25">
      <c r="A23" s="21" t="s">
        <v>28</v>
      </c>
      <c r="B23" s="20">
        <f>2.82+2.13+1.96+4.14+1.23+3.68</f>
        <v>15.959999999999999</v>
      </c>
      <c r="C23" s="20">
        <f>1.34+2.82+2.13+1.96+4.14+1.23+3.68</f>
        <v>17.3</v>
      </c>
      <c r="D23" s="20">
        <f>1.34+2.82+2.13+1.96+4.14+1.23+3.68</f>
        <v>17.3</v>
      </c>
      <c r="E23" s="20">
        <f>3.68+1.23+4.14+1.96+2.13+2.82+1.34+3.58+0.98</f>
        <v>21.860000000000003</v>
      </c>
      <c r="F23" s="20">
        <f>0.405+0.272+2.07+0.36+0.98+3.58+1.34+2.82+2.13+1.96+4.14+1.23+3.68</f>
        <v>24.967000000000002</v>
      </c>
      <c r="G23" s="20">
        <f>0.405+0.272+2.07+0.36+0.98+3.58+1.34+2.82+2.13+1.96+4.14+1.23+3.68</f>
        <v>24.967000000000002</v>
      </c>
      <c r="H23" s="20">
        <f>3.68+1.23+4.14+1.96+2.13+2.82+1.34+3.58+0.98+0.36+2.07+0.272+0.405+5.79</f>
        <v>30.757000000000001</v>
      </c>
      <c r="I23" s="20">
        <f>3.68+1.23+4.14+1.96+2.13+2.82+1.34+3.58+0.98+0.36+2.07+0.272+0.405+5.79+3.89</f>
        <v>34.646999999999998</v>
      </c>
      <c r="J23" s="20">
        <f>3.68+1.23+4.14+1.96+2.13+2.82+1.34+3.58+0.98+0.36+2.07+0.272+0.405+5.79+3.89+2.97</f>
        <v>37.616999999999997</v>
      </c>
      <c r="K23" s="20">
        <f>3.68+1.23+4.14+1.96+2.13+2.82+1.34+3.58+0.98+0.36+2.07+0.879</f>
        <v>25.169000000000004</v>
      </c>
      <c r="L23" s="20">
        <f>3.68+1.23+4.14+1.96+2.13+2.82+1.34+3.58+0.98+0.36+2.07+0.879+1.81</f>
        <v>26.979000000000003</v>
      </c>
      <c r="M23" s="20">
        <f>1.38+3.06+0.45+0.684+0.455+1.39+0.876+5.21+1.46+3.68</f>
        <v>18.645</v>
      </c>
      <c r="N23" s="20">
        <f t="shared" ref="N23:O23" si="6">3.68+1.46+5.21+0.876+1.39+0.455+0.684+0.45+3.06</f>
        <v>17.265000000000001</v>
      </c>
      <c r="O23" s="20">
        <f t="shared" si="6"/>
        <v>17.265000000000001</v>
      </c>
      <c r="P23" s="20">
        <f>3.68+1.46+5.21+0.876+1.39+0.455+0.684+0.45+3.06</f>
        <v>17.265000000000001</v>
      </c>
      <c r="Q23" s="20">
        <f>3.68+1.46+5.21+0.876+1.39+0.455+0.684+0.45+3.06+3.1</f>
        <v>20.365000000000002</v>
      </c>
      <c r="R23" s="20">
        <f>3.68+1.46+5.21+0.876+2.05+9.89</f>
        <v>23.166</v>
      </c>
      <c r="S23" s="20">
        <f>3.68+1.46+5.21+0.876+1.39+0.455</f>
        <v>13.071000000000002</v>
      </c>
      <c r="T23" s="20">
        <f>0.684+0.455+1.39+0.876+5.21+1.46+3.68</f>
        <v>13.754999999999999</v>
      </c>
      <c r="U23" s="20">
        <f>3.68+1.46+5.21</f>
        <v>10.350000000000001</v>
      </c>
      <c r="V23" s="20">
        <f>1.46+3.68</f>
        <v>5.1400000000000006</v>
      </c>
      <c r="W23" s="22">
        <v>0</v>
      </c>
      <c r="X23" s="20">
        <f>1.23+3.68</f>
        <v>4.91</v>
      </c>
      <c r="Y23" s="20">
        <f>4.14+1.23+3.68</f>
        <v>9.0499999999999989</v>
      </c>
      <c r="Z23" s="20">
        <f>4.14+1.23+3.68</f>
        <v>9.0499999999999989</v>
      </c>
    </row>
    <row r="24" spans="1:26" x14ac:dyDescent="0.25">
      <c r="A24" s="21" t="s">
        <v>1</v>
      </c>
      <c r="B24" s="20">
        <f>2.82+2.13+1.96+4.14</f>
        <v>11.049999999999999</v>
      </c>
      <c r="C24" s="20">
        <f>1.34+2.82+2.13+1.96+4.14</f>
        <v>12.39</v>
      </c>
      <c r="D24" s="20">
        <f>1.34+2.82+2.13+1.96+4.14</f>
        <v>12.39</v>
      </c>
      <c r="E24" s="20">
        <f>4.14+1.96+2.13+4.13+3.58+0.98</f>
        <v>16.919999999999998</v>
      </c>
      <c r="F24" s="20">
        <f>0.405+0.272+2.07+0.36+0.98+3.58+1.34+2.82+2.13+1.96+4.14</f>
        <v>20.057000000000002</v>
      </c>
      <c r="G24" s="20">
        <f>0.405+0.272+2.07+0.36+0.98+3.58+1.34+2.82+2.13+1.96+4.14</f>
        <v>20.057000000000002</v>
      </c>
      <c r="H24" s="20">
        <f>4.14+1.96+2.13+4.13+3.58+0.98+0.36+2.07+0.272+0.405+5.79</f>
        <v>25.816999999999997</v>
      </c>
      <c r="I24" s="20">
        <f>4.14+1.96+2.13+4.13+3.58+0.98+0.36+2.07+0.272+0.405+5.79+3.89</f>
        <v>29.706999999999997</v>
      </c>
      <c r="J24" s="20">
        <f>4.14+1.96+2.13+4.13+3.58+0.98+0.36+2.07+0.272+0.405+5.79+3.89+2.97</f>
        <v>32.677</v>
      </c>
      <c r="K24" s="20">
        <f>4.14+1.96+2.13+4.13+3.58+0.98+0.36+2.07+0.879</f>
        <v>20.228999999999999</v>
      </c>
      <c r="L24" s="20">
        <f>4.14+1.96+2.13+4.13+3.58+0.98+0.36+2.07+2.6</f>
        <v>21.95</v>
      </c>
      <c r="M24" s="20">
        <f>1.38+3.06+0.45+0.684+0.455+1.39+0.876+5.21+1.46+1.23</f>
        <v>16.195</v>
      </c>
      <c r="N24" s="20">
        <f>1.23+1.46+5.21+0.876+1.39+0.455+0.684+0.45+3.06</f>
        <v>14.815</v>
      </c>
      <c r="O24" s="20">
        <f>1.23+1.46+5.21+0.876+1.39+0.455+0.684+0.45+3.06</f>
        <v>14.815</v>
      </c>
      <c r="P24" s="20">
        <f>1.23+1.46+5.21+0.876+1.39+0.455+0.684+0.45+3.06</f>
        <v>14.815</v>
      </c>
      <c r="Q24" s="20">
        <f>1.23+1.46+5.21+0.876+1.39+0.455+0.684+0.45+3.06+3.1</f>
        <v>17.914999999999999</v>
      </c>
      <c r="R24" s="20">
        <f>1.23+1.46+5.21+0.876+2.05+9.89</f>
        <v>20.716000000000001</v>
      </c>
      <c r="S24" s="20">
        <f>1.23+1.46+5.21+0.876+1.39+0.455</f>
        <v>10.621</v>
      </c>
      <c r="T24" s="20">
        <f>0.684+0.455+1.39+0.876+5.21+1.46+1.23</f>
        <v>11.305</v>
      </c>
      <c r="U24" s="20">
        <f>1.23+1.46+5.21</f>
        <v>7.9</v>
      </c>
      <c r="V24" s="20">
        <f>1.23+1.46</f>
        <v>2.69</v>
      </c>
      <c r="W24" s="20">
        <f>1.23+3.68</f>
        <v>4.91</v>
      </c>
      <c r="X24" s="22">
        <v>0</v>
      </c>
      <c r="Y24" s="20">
        <v>4.1399999999999997</v>
      </c>
      <c r="Z24" s="20">
        <v>4.1399999999999997</v>
      </c>
    </row>
    <row r="25" spans="1:26" x14ac:dyDescent="0.25">
      <c r="A25" s="21" t="s">
        <v>27</v>
      </c>
      <c r="B25" s="20">
        <f>2.82+2.13+1.96</f>
        <v>6.9099999999999993</v>
      </c>
      <c r="C25" s="20">
        <f>1.34+2.82+2.13+1.96</f>
        <v>8.25</v>
      </c>
      <c r="D25" s="20">
        <f>1.34+2.82+2.13+1.96</f>
        <v>8.25</v>
      </c>
      <c r="E25" s="20">
        <f>1.96+2.13+4.13+3.58+0.98</f>
        <v>12.78</v>
      </c>
      <c r="F25" s="20">
        <f>0.405+0.272+2.07+0.36+0.98+3.58+1.34+2.82+2.13+1.96</f>
        <v>15.917000000000002</v>
      </c>
      <c r="G25" s="20">
        <f>0.405+0.272+2.07+0.36+0.98+3.58+1.34+2.82+2.13+1.96</f>
        <v>15.917000000000002</v>
      </c>
      <c r="H25" s="20">
        <f>1.96+2.13+4.13+3.58+0.98+0.36+2.07+0.272+0.405+5.79</f>
        <v>21.677</v>
      </c>
      <c r="I25" s="20">
        <f>1.96+2.13+4.13+3.58+0.98+0.36+2.07+0.272+0.405+5.79+3.89</f>
        <v>25.567</v>
      </c>
      <c r="J25" s="20">
        <f>1.96+2.13+4.13+3.58+0.98+0.36+2.07+0.272+0.405+5.79+3.89+2.97</f>
        <v>28.536999999999999</v>
      </c>
      <c r="K25" s="20">
        <f>1.96+2.13+4.13+3.58+0.98+0.36+2.07+0.879</f>
        <v>16.088999999999999</v>
      </c>
      <c r="L25" s="20">
        <f>1.96+2.13+4.13+3.58+0.98+0.36+2.07+2.6</f>
        <v>17.809999999999999</v>
      </c>
      <c r="M25" s="20">
        <f>1.96+2.13+4.13+3.58+0.98+0.36+2.07+0.879+1.81+0.293+2.2+0.388</f>
        <v>20.779999999999998</v>
      </c>
      <c r="N25" s="20">
        <f t="shared" ref="N25:P26" si="7">1.96+2.13+4.13+2.57+0.455+0.684+0.45+3.06</f>
        <v>15.438999999999998</v>
      </c>
      <c r="O25" s="20">
        <f t="shared" si="7"/>
        <v>15.438999999999998</v>
      </c>
      <c r="P25" s="20">
        <f t="shared" si="7"/>
        <v>15.438999999999998</v>
      </c>
      <c r="Q25" s="20">
        <f>1.96+2.13+4.13+2.57+0.455+0.684+0.45+3.06+3.1</f>
        <v>18.538999999999998</v>
      </c>
      <c r="R25" s="20">
        <f>3.72+3.1+3.06+0.45+0.684+0.455+2.57+1.34+2.82+2.13+1.96</f>
        <v>22.288999999999998</v>
      </c>
      <c r="S25" s="20">
        <f>1.96+2.13+4.13+2.57+0.455</f>
        <v>11.244999999999999</v>
      </c>
      <c r="T25" s="20">
        <f>1.96+2.13+2.82+1.34+2.57+0.455+0.684</f>
        <v>11.959</v>
      </c>
      <c r="U25" s="20">
        <f>4.14+1.23+1.46+5.21</f>
        <v>12.04</v>
      </c>
      <c r="V25" s="20">
        <f>4.14+1.23+1.46</f>
        <v>6.8299999999999992</v>
      </c>
      <c r="W25" s="20">
        <f>4.14+1.23+3.68</f>
        <v>9.0499999999999989</v>
      </c>
      <c r="X25" s="20">
        <v>4.1399999999999997</v>
      </c>
      <c r="Y25" s="22">
        <v>0</v>
      </c>
      <c r="Z25" s="22">
        <v>0</v>
      </c>
    </row>
    <row r="26" spans="1:26" x14ac:dyDescent="0.25">
      <c r="A26" s="21" t="s">
        <v>4</v>
      </c>
      <c r="B26" s="20">
        <f>2.82+2.13+1.96</f>
        <v>6.9099999999999993</v>
      </c>
      <c r="C26" s="20">
        <f>1.34+2.82+2.13+1.96</f>
        <v>8.25</v>
      </c>
      <c r="D26" s="20">
        <f>1.34+2.82+2.13+1.96</f>
        <v>8.25</v>
      </c>
      <c r="E26" s="20">
        <f>1.96+2.13+4.13+3.58+0.98</f>
        <v>12.78</v>
      </c>
      <c r="F26" s="20">
        <f>0.405+0.272+2.07+0.36+0.98+3.58+1.34+2.82+2.13+1.96</f>
        <v>15.917000000000002</v>
      </c>
      <c r="G26" s="20">
        <f>0.405+0.272+2.07+0.36+0.98+3.58+1.34+2.82+2.13+1.96</f>
        <v>15.917000000000002</v>
      </c>
      <c r="H26" s="20">
        <f>1.96+2.13+4.13+3.58+0.98+0.36+2.07+0.272+0.405+5.79</f>
        <v>21.677</v>
      </c>
      <c r="I26" s="20">
        <f>1.96+2.13+4.13+3.58+0.98+0.36+2.07+0.272+0.405+5.79+3.89</f>
        <v>25.567</v>
      </c>
      <c r="J26" s="20">
        <f>1.96+2.13+4.13+3.58+0.98+0.36+2.07+0.272+0.405+5.79+3.89+2.97</f>
        <v>28.536999999999999</v>
      </c>
      <c r="K26" s="20">
        <f>1.96+2.13+4.13+3.58+0.98+0.36+2.07+0.879</f>
        <v>16.088999999999999</v>
      </c>
      <c r="L26" s="20">
        <f>1.96+2.13+4.13+3.58+0.98+0.36+2.07+2.6</f>
        <v>17.809999999999999</v>
      </c>
      <c r="M26" s="20">
        <f>1.96+2.13+4.13+3.58+0.98+0.36+2.07+0.879+1.81+0.293+2.2+0.388</f>
        <v>20.779999999999998</v>
      </c>
      <c r="N26" s="20">
        <f t="shared" si="7"/>
        <v>15.438999999999998</v>
      </c>
      <c r="O26" s="20">
        <f t="shared" si="7"/>
        <v>15.438999999999998</v>
      </c>
      <c r="P26" s="20">
        <f t="shared" si="7"/>
        <v>15.438999999999998</v>
      </c>
      <c r="Q26" s="20">
        <f>1.96+2.13+4.13+2.57+0.455+0.684+0.45+3.06+3.1</f>
        <v>18.538999999999998</v>
      </c>
      <c r="R26" s="20">
        <f>3.72+3.1+3.06+0.45+0.684+0.455+2.57+1.34+2.82+2.13+1.96</f>
        <v>22.288999999999998</v>
      </c>
      <c r="S26" s="20">
        <f>1.96+2.13+4.13+2.57+0.455</f>
        <v>11.244999999999999</v>
      </c>
      <c r="T26" s="20">
        <f>1.96+2.13+2.82+1.34+2.57+0.455+0.684</f>
        <v>11.959</v>
      </c>
      <c r="U26" s="20">
        <f>4.14+1.23+1.46+5.21</f>
        <v>12.04</v>
      </c>
      <c r="V26" s="20">
        <f>4.14+1.23+1.46</f>
        <v>6.8299999999999992</v>
      </c>
      <c r="W26" s="20">
        <f>4.14+1.23+3.68</f>
        <v>9.0499999999999989</v>
      </c>
      <c r="X26" s="20">
        <v>4.1399999999999997</v>
      </c>
      <c r="Y26" s="22">
        <v>0</v>
      </c>
      <c r="Z26" s="22">
        <v>0</v>
      </c>
    </row>
    <row r="27" spans="1:26" x14ac:dyDescent="0.25">
      <c r="I27" s="1"/>
      <c r="K27" s="1"/>
    </row>
    <row r="28" spans="1:26" ht="75" x14ac:dyDescent="0.25">
      <c r="A28" s="14" t="s">
        <v>15</v>
      </c>
      <c r="B28" s="15" t="s">
        <v>31</v>
      </c>
      <c r="C28" s="15" t="s">
        <v>6</v>
      </c>
      <c r="D28" s="15" t="s">
        <v>29</v>
      </c>
      <c r="E28" s="15" t="s">
        <v>18</v>
      </c>
      <c r="F28" s="15" t="s">
        <v>9</v>
      </c>
      <c r="G28" s="15" t="s">
        <v>20</v>
      </c>
      <c r="H28" s="15" t="s">
        <v>21</v>
      </c>
      <c r="I28" s="15" t="s">
        <v>7</v>
      </c>
      <c r="J28" s="15" t="s">
        <v>23</v>
      </c>
      <c r="K28" s="15" t="s">
        <v>22</v>
      </c>
      <c r="L28" s="15" t="s">
        <v>19</v>
      </c>
      <c r="M28" s="15" t="s">
        <v>2</v>
      </c>
      <c r="N28" s="15" t="s">
        <v>24</v>
      </c>
      <c r="O28" s="15" t="s">
        <v>8</v>
      </c>
      <c r="P28" s="15" t="s">
        <v>30</v>
      </c>
      <c r="Q28" s="15" t="s">
        <v>0</v>
      </c>
      <c r="R28" s="15" t="s">
        <v>3</v>
      </c>
      <c r="S28" s="15" t="s">
        <v>25</v>
      </c>
      <c r="T28" s="15" t="s">
        <v>5</v>
      </c>
      <c r="U28" s="15" t="s">
        <v>17</v>
      </c>
      <c r="V28" s="15" t="s">
        <v>26</v>
      </c>
      <c r="W28" s="15" t="s">
        <v>28</v>
      </c>
      <c r="X28" s="15" t="s">
        <v>1</v>
      </c>
      <c r="Y28" s="15" t="s">
        <v>27</v>
      </c>
      <c r="Z28" s="15" t="s">
        <v>4</v>
      </c>
    </row>
    <row r="29" spans="1:26" x14ac:dyDescent="0.25">
      <c r="A29" s="16" t="s">
        <v>31</v>
      </c>
      <c r="B29" s="17">
        <v>0</v>
      </c>
      <c r="C29" s="19">
        <v>1.37</v>
      </c>
      <c r="D29" s="19">
        <v>1.37</v>
      </c>
      <c r="E29" s="19">
        <f>1.37+3.58+0.98</f>
        <v>5.93</v>
      </c>
      <c r="F29" s="24">
        <f>1.34+3.58+0.98+0.36+2.07+0.272+0.405</f>
        <v>9.0069999999999997</v>
      </c>
      <c r="G29" s="24">
        <f>1.34+3.58+0.98+0.36+2.07+0.272+0.405</f>
        <v>9.0069999999999997</v>
      </c>
      <c r="H29" s="20">
        <f>1.34+3.58+0.98+0.36+2.07+0.272+0.464+3.22+2.97+3.89</f>
        <v>19.146000000000001</v>
      </c>
      <c r="I29" s="20">
        <f>1.34+3.58+0.98+0.36+2.07+0.272+0.464+3.22+2.97</f>
        <v>15.256000000000002</v>
      </c>
      <c r="J29" s="20">
        <f>1.34+3.58+0.98+0.36+2.07+0.272+0.464+3.22</f>
        <v>12.286000000000001</v>
      </c>
      <c r="K29" s="20">
        <f>1.34+3.58+0.98+0.36+2.07+0.879</f>
        <v>9.2089999999999996</v>
      </c>
      <c r="L29" s="20">
        <f>1.34+3.58+0.98+0.36+2.07+0.272+0.464+3.8</f>
        <v>12.866</v>
      </c>
      <c r="M29" s="20">
        <f>1.34+3.58+0.98+0.36+2.07+0.272+0.464+3.8+0.293+2.74+0.388+0.387</f>
        <v>16.673999999999999</v>
      </c>
      <c r="N29" s="20">
        <f>1.34+2.57+0.455+0.684+0.203+3.06</f>
        <v>8.3120000000000012</v>
      </c>
      <c r="O29" s="20">
        <f t="shared" ref="O29:P29" si="8">1.34+2.57+0.455+0.684+0.203+3.06</f>
        <v>8.3120000000000012</v>
      </c>
      <c r="P29" s="20">
        <f t="shared" si="8"/>
        <v>8.3120000000000012</v>
      </c>
      <c r="Q29" s="20">
        <f>1.34+2.57+0.455+0.684+0.203+3.06+3.1</f>
        <v>11.412000000000001</v>
      </c>
      <c r="R29" s="24">
        <f>1.34+2.57+1.39+2.05+9.89</f>
        <v>17.240000000000002</v>
      </c>
      <c r="S29" s="20">
        <f>2.57+0.455+1.34</f>
        <v>4.3650000000000002</v>
      </c>
      <c r="T29" s="20">
        <f>1.34+2.57+0.455+0.684</f>
        <v>5.0490000000000004</v>
      </c>
      <c r="U29" s="20">
        <f>1.34+2.57+1.39+0.876</f>
        <v>6.1760000000000002</v>
      </c>
      <c r="V29" s="20">
        <f>2.57+1.39+0.876+5.21+1.34</f>
        <v>11.385999999999999</v>
      </c>
      <c r="W29" s="20">
        <f>2.82+2.13+1.96+4.14+1.23+3.68</f>
        <v>15.959999999999999</v>
      </c>
      <c r="X29" s="20">
        <f>2.82+2.13+1.96+4.14</f>
        <v>11.049999999999999</v>
      </c>
      <c r="Y29" s="24">
        <f>2.82+2.13+1.96</f>
        <v>6.9099999999999993</v>
      </c>
      <c r="Z29" s="24">
        <f>2.82+2.13+1.96</f>
        <v>6.9099999999999993</v>
      </c>
    </row>
    <row r="30" spans="1:26" x14ac:dyDescent="0.25">
      <c r="A30" s="21" t="s">
        <v>6</v>
      </c>
      <c r="B30" s="19">
        <v>1.37</v>
      </c>
      <c r="C30" s="22">
        <v>0</v>
      </c>
      <c r="D30" s="22">
        <v>0</v>
      </c>
      <c r="E30" s="20">
        <f>3.58+0.98</f>
        <v>4.5600000000000005</v>
      </c>
      <c r="F30" s="20">
        <f>3.58+0.98+0.36+2.07+0.272+0.405</f>
        <v>7.6670000000000007</v>
      </c>
      <c r="G30" s="20">
        <f>3.58+0.98+0.36+2.07+0.272+0.405</f>
        <v>7.6670000000000007</v>
      </c>
      <c r="H30" s="20">
        <f>3.58+0.98+0.36+2.07+0.272+0.464+3.22+2.97+3.89</f>
        <v>17.806000000000001</v>
      </c>
      <c r="I30" s="20">
        <f>3.58+0.98+0.36+2.07+0.272+0.464+3.22+2.97</f>
        <v>13.916000000000002</v>
      </c>
      <c r="J30" s="20">
        <f>3.58+0.98+0.36+2.07+0.272+0.464+3.22</f>
        <v>10.946000000000002</v>
      </c>
      <c r="K30" s="20">
        <f>3.58+0.98+0.36+2.07+0.879</f>
        <v>7.8689999999999998</v>
      </c>
      <c r="L30" s="20">
        <f>3.58+0.98+0.36+2.07+0.272+0.464+3.8</f>
        <v>11.526</v>
      </c>
      <c r="M30" s="20">
        <f>3.58+0.98+0.36+2.07+0.272+0.464+3.8+0.293+2.74+0.388+0.387</f>
        <v>15.334</v>
      </c>
      <c r="N30" s="20">
        <f>2.57+0.455+0.684+0.203+3.06</f>
        <v>6.9719999999999995</v>
      </c>
      <c r="O30" s="20">
        <f t="shared" ref="O30:P30" si="9">2.57+0.455+0.684+0.203+3.06</f>
        <v>6.9719999999999995</v>
      </c>
      <c r="P30" s="20">
        <f t="shared" si="9"/>
        <v>6.9719999999999995</v>
      </c>
      <c r="Q30" s="20">
        <f>2.57+0.455+0.684+0.203+3.06+3.1</f>
        <v>10.071999999999999</v>
      </c>
      <c r="R30" s="20">
        <f>2.57+1.39+2.05+9.89</f>
        <v>15.9</v>
      </c>
      <c r="S30" s="20">
        <f>2.57+0.455</f>
        <v>3.0249999999999999</v>
      </c>
      <c r="T30" s="20">
        <f>2.57+0.455+0.684</f>
        <v>3.7090000000000001</v>
      </c>
      <c r="U30" s="20">
        <f>2.57+1.39+0.876</f>
        <v>4.8360000000000003</v>
      </c>
      <c r="V30" s="20">
        <f>2.57+1.39+0.876+5.21</f>
        <v>10.045999999999999</v>
      </c>
      <c r="W30" s="20">
        <f>1.34+2.82+2.13+1.96+4.14+1.23+3.68</f>
        <v>17.3</v>
      </c>
      <c r="X30" s="20">
        <f>1.34+2.82+2.13+1.96+4.14</f>
        <v>12.39</v>
      </c>
      <c r="Y30" s="24">
        <f>1.34+2.82+2.13+1.96</f>
        <v>8.25</v>
      </c>
      <c r="Z30" s="24">
        <f>1.34+2.82+2.13+1.96</f>
        <v>8.25</v>
      </c>
    </row>
    <row r="31" spans="1:26" x14ac:dyDescent="0.25">
      <c r="A31" s="21" t="s">
        <v>29</v>
      </c>
      <c r="B31" s="19">
        <v>1.37</v>
      </c>
      <c r="C31" s="22">
        <v>0</v>
      </c>
      <c r="D31" s="22">
        <v>0</v>
      </c>
      <c r="E31" s="20">
        <f>3.58+0.98</f>
        <v>4.5600000000000005</v>
      </c>
      <c r="F31" s="20">
        <f>3.58+0.98+0.36+2.07+0.272+0.405</f>
        <v>7.6670000000000007</v>
      </c>
      <c r="G31" s="20">
        <f>3.58+0.98+0.36+2.07+0.272+0.405</f>
        <v>7.6670000000000007</v>
      </c>
      <c r="H31" s="20">
        <f>3.58+0.98+0.36+2.07+0.272+0.464+3.22+2.97+3.89</f>
        <v>17.806000000000001</v>
      </c>
      <c r="I31" s="20">
        <f>3.58+0.98+0.36+2.07+0.272+0.464+3.22+2.97</f>
        <v>13.916000000000002</v>
      </c>
      <c r="J31" s="20">
        <f>3.58+0.98+0.36+2.07+0.272+0.464+3.22</f>
        <v>10.946000000000002</v>
      </c>
      <c r="K31" s="20">
        <f>3.58+0.98+0.36+2.07+0.879</f>
        <v>7.8689999999999998</v>
      </c>
      <c r="L31" s="20">
        <f>3.58+0.98+0.36+2.07+0.272+0.464+3.8</f>
        <v>11.526</v>
      </c>
      <c r="M31" s="20">
        <f>3.58+0.98+0.36+2.07+0.272+0.464+3.8+0.293+2.74+0.388+0.387</f>
        <v>15.334</v>
      </c>
      <c r="N31" s="20">
        <f>2.57+0.455+0.684+0.203+3.06</f>
        <v>6.9719999999999995</v>
      </c>
      <c r="O31" s="20">
        <f t="shared" ref="O31:P31" si="10">2.57+0.455+0.684+0.203+3.06</f>
        <v>6.9719999999999995</v>
      </c>
      <c r="P31" s="20">
        <f t="shared" si="10"/>
        <v>6.9719999999999995</v>
      </c>
      <c r="Q31" s="20">
        <f>2.57+0.455+0.684+0.203+3.06+3.1</f>
        <v>10.071999999999999</v>
      </c>
      <c r="R31" s="20">
        <f>2.57+1.39+2.05+9.89</f>
        <v>15.9</v>
      </c>
      <c r="S31" s="20">
        <f>2.57+0.455</f>
        <v>3.0249999999999999</v>
      </c>
      <c r="T31" s="20">
        <f>2.57+0.455+0.684</f>
        <v>3.7090000000000001</v>
      </c>
      <c r="U31" s="20">
        <f>2.57+1.39+0.876</f>
        <v>4.8360000000000003</v>
      </c>
      <c r="V31" s="20">
        <f>2.57+1.39+0.876+5.21</f>
        <v>10.045999999999999</v>
      </c>
      <c r="W31" s="20">
        <f>1.34+2.82+2.13+1.96+4.14+1.23+3.68</f>
        <v>17.3</v>
      </c>
      <c r="X31" s="20">
        <f>1.34+2.82+2.13+1.96+4.14</f>
        <v>12.39</v>
      </c>
      <c r="Y31" s="24">
        <f>1.34+2.82+2.13+1.96</f>
        <v>8.25</v>
      </c>
      <c r="Z31" s="24">
        <f>1.34+2.82+2.13+1.96</f>
        <v>8.25</v>
      </c>
    </row>
    <row r="32" spans="1:26" x14ac:dyDescent="0.25">
      <c r="A32" s="21" t="s">
        <v>18</v>
      </c>
      <c r="B32" s="19">
        <f>1.37+3.58+0.98</f>
        <v>5.93</v>
      </c>
      <c r="C32" s="20">
        <f>3.58+0.98</f>
        <v>4.5600000000000005</v>
      </c>
      <c r="D32" s="20">
        <f>3.58+0.98</f>
        <v>4.5600000000000005</v>
      </c>
      <c r="E32" s="22">
        <v>0</v>
      </c>
      <c r="F32" s="20">
        <f>0.405+0.272+2.07+0.36</f>
        <v>3.1069999999999998</v>
      </c>
      <c r="G32" s="20">
        <f>0.405+0.272+2.07+0.36</f>
        <v>3.1069999999999998</v>
      </c>
      <c r="H32" s="20">
        <f>3.89+2.97+3.22+0.464+0.272+2.07+0.36</f>
        <v>13.246</v>
      </c>
      <c r="I32" s="20">
        <f>2.97+3.22+0.464+0.272+2.07+0.36</f>
        <v>9.3559999999999999</v>
      </c>
      <c r="J32" s="20">
        <f>0.36+2.07+0.272+0.464+3.22</f>
        <v>6.3860000000000001</v>
      </c>
      <c r="K32" s="20">
        <f>0.36+2.07+0.879</f>
        <v>3.3089999999999997</v>
      </c>
      <c r="L32" s="20">
        <f>3.8+0.464+0.272+2.07+0.36</f>
        <v>6.9660000000000002</v>
      </c>
      <c r="M32" s="20">
        <f>3.8+0.464+0.272+2.07+0.36+0.293+2.74+0.388+0.387</f>
        <v>10.774000000000001</v>
      </c>
      <c r="N32" s="20">
        <f>4.31+2.74+0.293+3.8+0.464+0.272+2.07+0.36</f>
        <v>14.309000000000001</v>
      </c>
      <c r="O32" s="20">
        <f t="shared" ref="O32:P32" si="11">4.31+2.74+0.293+3.8+0.464+0.272+2.07+0.36</f>
        <v>14.309000000000001</v>
      </c>
      <c r="P32" s="20">
        <f t="shared" si="11"/>
        <v>14.309000000000001</v>
      </c>
      <c r="Q32" s="20">
        <f>3.1+4.31+2.74+0.293+3.8+0.464+0.272+2.07+0.36</f>
        <v>17.408999999999999</v>
      </c>
      <c r="R32" s="20">
        <f>0.98+3.58+2.57+1.39+2.05+9.89</f>
        <v>20.46</v>
      </c>
      <c r="S32" s="20">
        <f>0.455+2.57+3.58+0.98</f>
        <v>7.5850000000000009</v>
      </c>
      <c r="T32" s="20">
        <f>0.684+0.455+2.57+3.58+0.98</f>
        <v>8.2690000000000001</v>
      </c>
      <c r="U32" s="20">
        <f>0.876+1.39+2.57+3.58+0.98</f>
        <v>9.3960000000000008</v>
      </c>
      <c r="V32" s="20">
        <f>0.98+3.58+2.57+1.39+0.876+5.21</f>
        <v>14.606000000000002</v>
      </c>
      <c r="W32" s="20">
        <f>3.68+1.23+4.14+1.96+2.13+2.82+1.34+3.58+0.98</f>
        <v>21.860000000000003</v>
      </c>
      <c r="X32" s="20">
        <f>4.14+1.96+2.13+2.82+1.34+3.58+0.98</f>
        <v>16.95</v>
      </c>
      <c r="Y32" s="20">
        <f>1.96+2.13+2.82+1.34+3.58+0.98</f>
        <v>12.81</v>
      </c>
      <c r="Z32" s="20">
        <f>1.96+2.13+2.82+1.34+3.58+0.98</f>
        <v>12.81</v>
      </c>
    </row>
    <row r="33" spans="1:26" x14ac:dyDescent="0.25">
      <c r="A33" s="21" t="s">
        <v>9</v>
      </c>
      <c r="B33" s="24">
        <f>1.34+3.58+0.98+0.36+2.07+0.272+0.405</f>
        <v>9.0069999999999997</v>
      </c>
      <c r="C33" s="20">
        <f>3.58+0.98+0.36+2.07+0.272+0.405</f>
        <v>7.6670000000000007</v>
      </c>
      <c r="D33" s="20">
        <f>3.58+0.98+0.36+2.07+0.272+0.405</f>
        <v>7.6670000000000007</v>
      </c>
      <c r="E33" s="20">
        <f>0.405+0.272+2.07+0.36</f>
        <v>3.1069999999999998</v>
      </c>
      <c r="F33" s="22">
        <v>0</v>
      </c>
      <c r="G33" s="22">
        <v>0</v>
      </c>
      <c r="H33" s="20">
        <f>0.405+0.464+3.22+2.97+3.89</f>
        <v>10.949000000000002</v>
      </c>
      <c r="I33" s="20">
        <f>0.405+0.464+3.22+2.97</f>
        <v>7.0590000000000011</v>
      </c>
      <c r="J33" s="24">
        <f>0.405+0.464+3.22</f>
        <v>4.0890000000000004</v>
      </c>
      <c r="K33" s="24">
        <f>0.879+0.272+0.405</f>
        <v>1.556</v>
      </c>
      <c r="L33" s="20">
        <f>0.405+0.464+3.8</f>
        <v>4.6689999999999996</v>
      </c>
      <c r="M33" s="20">
        <f>0.405+0.464+3.8+0.293+2.74+0.388+0.387</f>
        <v>8.4770000000000003</v>
      </c>
      <c r="N33" s="20">
        <f>0.405+0.464+3.8+0.293+2.74+4.31</f>
        <v>12.012</v>
      </c>
      <c r="O33" s="20">
        <f t="shared" ref="O33:P33" si="12">0.405+0.464+3.8+0.293+2.74+4.31</f>
        <v>12.012</v>
      </c>
      <c r="P33" s="20">
        <f t="shared" si="12"/>
        <v>12.012</v>
      </c>
      <c r="Q33" s="20">
        <f>0.405+0.464+3.8+0.293+2.74+4.31+3.1</f>
        <v>15.112</v>
      </c>
      <c r="R33" s="20">
        <f>3.72+3.1+4.31+2.74+0.293+3.8+0.464+0.405</f>
        <v>18.831999999999997</v>
      </c>
      <c r="S33" s="20">
        <f>0.405+0.272+2.07+0.98+0.36+3.58+2.57+0.455</f>
        <v>10.692</v>
      </c>
      <c r="T33" s="20">
        <f>0.405+0.272+2.07+0.98+0.36+3.58+2.57+0.455+0.684</f>
        <v>11.375999999999999</v>
      </c>
      <c r="U33" s="23">
        <f>0.405+0.272+2.07+0.98+0.36+3.58+2.57+1.39+0.876</f>
        <v>12.503</v>
      </c>
      <c r="V33" s="23">
        <f>0.405+0.272+2.07+0.98+0.36+3.58+2.57+1.39+0.876+5.21</f>
        <v>17.713000000000001</v>
      </c>
      <c r="W33" s="20">
        <f>0.405+0.272+2.07+0.98+0.36+3.58+1.34+2.82+2.13+1.96+4.14+1.23+3.68</f>
        <v>24.967000000000002</v>
      </c>
      <c r="X33" s="20">
        <f>0.405+0.272+2.07+0.98+0.36+3.58+1.34+2.82+2.13+1.96+4.14</f>
        <v>20.057000000000002</v>
      </c>
      <c r="Y33" s="20">
        <f>0.405+0.272+2.07+0.98+0.36+3.58+1.34+2.82+2.13+1.96</f>
        <v>15.917000000000002</v>
      </c>
      <c r="Z33" s="20">
        <f>0.405+0.272+2.07+0.98+0.36+3.58+1.34+2.82+2.13+1.96</f>
        <v>15.917000000000002</v>
      </c>
    </row>
    <row r="34" spans="1:26" x14ac:dyDescent="0.25">
      <c r="A34" s="21" t="s">
        <v>20</v>
      </c>
      <c r="B34" s="24">
        <f>1.34+3.58+0.98+0.36+2.07+0.272+0.405</f>
        <v>9.0069999999999997</v>
      </c>
      <c r="C34" s="20">
        <f>3.58+0.98+0.36+2.07+0.272+0.405</f>
        <v>7.6670000000000007</v>
      </c>
      <c r="D34" s="20">
        <f>3.58+0.98+0.36+2.07+0.272+0.405</f>
        <v>7.6670000000000007</v>
      </c>
      <c r="E34" s="20">
        <f>0.405+0.272+2.07+0.36</f>
        <v>3.1069999999999998</v>
      </c>
      <c r="F34" s="22">
        <v>0</v>
      </c>
      <c r="G34" s="22">
        <v>0</v>
      </c>
      <c r="H34" s="20">
        <f>0.405+0.464+3.22+2.97+3.89</f>
        <v>10.949000000000002</v>
      </c>
      <c r="I34" s="20">
        <f>0.405+0.464+3.22+2.97</f>
        <v>7.0590000000000011</v>
      </c>
      <c r="J34" s="24">
        <f>0.405+0.464+3.22</f>
        <v>4.0890000000000004</v>
      </c>
      <c r="K34" s="24">
        <f>0.879+0.272+0.405</f>
        <v>1.556</v>
      </c>
      <c r="L34" s="20">
        <f>0.405+0.464+3.8</f>
        <v>4.6689999999999996</v>
      </c>
      <c r="M34" s="20">
        <f>0.405+0.464+3.8+0.293+2.74+0.388+0.387</f>
        <v>8.4770000000000003</v>
      </c>
      <c r="N34" s="20">
        <f>0.405+0.464+3.8+0.293+2.74+4.31</f>
        <v>12.012</v>
      </c>
      <c r="O34" s="20">
        <f t="shared" ref="O34:P34" si="13">0.405+0.464+3.8+0.293+2.74+4.31</f>
        <v>12.012</v>
      </c>
      <c r="P34" s="20">
        <f t="shared" si="13"/>
        <v>12.012</v>
      </c>
      <c r="Q34" s="20">
        <f>0.405+0.464+3.8+0.293+2.74+4.31+3.1</f>
        <v>15.112</v>
      </c>
      <c r="R34" s="20">
        <f>3.72+3.1+4.31+2.74+0.293+3.8+0.464+0.405</f>
        <v>18.831999999999997</v>
      </c>
      <c r="S34" s="20">
        <f>0.405+0.272+2.07+0.98+0.36+3.58+2.57+0.455</f>
        <v>10.692</v>
      </c>
      <c r="T34" s="20">
        <f>0.405+0.272+2.07+0.98+0.36+3.58+2.57+0.455+0.684</f>
        <v>11.375999999999999</v>
      </c>
      <c r="U34" s="23">
        <f>0.405+0.272+2.07+0.98+0.36+3.58+2.57+1.39+0.876</f>
        <v>12.503</v>
      </c>
      <c r="V34" s="23">
        <f>0.405+0.272+2.07+0.98+0.36+3.58+2.57+1.39+0.876+5.21</f>
        <v>17.713000000000001</v>
      </c>
      <c r="W34" s="20">
        <f>0.405+0.272+2.07+0.98+0.36+3.58+1.34+2.82+2.13+1.96+4.14+1.23+3.68</f>
        <v>24.967000000000002</v>
      </c>
      <c r="X34" s="20">
        <f>0.405+0.272+2.07+0.98+0.36+3.58+1.34+2.82+2.13+1.96+4.14</f>
        <v>20.057000000000002</v>
      </c>
      <c r="Y34" s="20">
        <f>0.405+0.272+2.07+0.98+0.36+3.58+1.34+2.82+2.13+1.96</f>
        <v>15.917000000000002</v>
      </c>
      <c r="Z34" s="20">
        <f>0.405+0.272+2.07+0.98+0.36+3.58+1.34+2.82+2.13+1.96</f>
        <v>15.917000000000002</v>
      </c>
    </row>
    <row r="35" spans="1:26" x14ac:dyDescent="0.25">
      <c r="A35" s="21" t="s">
        <v>21</v>
      </c>
      <c r="B35" s="20">
        <f>1.34+3.58+0.98+0.36+2.07+0.272+0.464+3.22+2.97+3.89</f>
        <v>19.146000000000001</v>
      </c>
      <c r="C35" s="20">
        <f>3.58+0.98+0.36+2.07+0.272+0.464+3.22+2.97+3.89</f>
        <v>17.806000000000001</v>
      </c>
      <c r="D35" s="20">
        <f>3.58+0.98+0.36+2.07+0.272+0.464+3.22+2.97+3.89</f>
        <v>17.806000000000001</v>
      </c>
      <c r="E35" s="20">
        <f>3.89+2.97+3.22+0.464+0.272+2.07+0.36</f>
        <v>13.246</v>
      </c>
      <c r="F35" s="20">
        <f>0.405+0.464+3.22+2.97+3.89</f>
        <v>10.949000000000002</v>
      </c>
      <c r="G35" s="20">
        <f>0.405+0.464+3.22+2.97+3.89</f>
        <v>10.949000000000002</v>
      </c>
      <c r="H35" s="22">
        <v>0</v>
      </c>
      <c r="I35" s="20">
        <v>3.89</v>
      </c>
      <c r="J35" s="20">
        <f>3.89+2.97</f>
        <v>6.86</v>
      </c>
      <c r="K35" s="20">
        <f>3.89+2.97+3.22+0.464+0.272+0.879</f>
        <v>11.695</v>
      </c>
      <c r="L35" s="20">
        <f>3.8+3.22+2.97+3.89</f>
        <v>13.88</v>
      </c>
      <c r="M35" s="20">
        <f>3.8+3.22+2.97+3.89+0.293+2.74+0.388+0.387</f>
        <v>17.688000000000002</v>
      </c>
      <c r="N35" s="20">
        <f>4.31+2.74+0.293+3.8+3.22+2.97+3.89</f>
        <v>21.223000000000003</v>
      </c>
      <c r="O35" s="20">
        <f>4.31+2.74+0.293+3.8+3.22+2.97+3.89</f>
        <v>21.223000000000003</v>
      </c>
      <c r="P35" s="20">
        <f>4.31+2.74+0.293+3.8+3.22+2.97+3.89</f>
        <v>21.223000000000003</v>
      </c>
      <c r="Q35" s="20">
        <f>3.89+2.97+3.22+3.8+0.293+2.74+4.31+3.1</f>
        <v>24.322999999999997</v>
      </c>
      <c r="R35" s="20">
        <f>3.72+3.1+4.31+2.74+0.293+3.8+3.22+2.97+3.89</f>
        <v>28.042999999999996</v>
      </c>
      <c r="S35" s="20">
        <f>0.684+0.203+3.06+4.31+2.74+0.293+3.8+3.22+2.97+3.89</f>
        <v>25.169999999999998</v>
      </c>
      <c r="T35" s="20">
        <f>0.203+3.06+4.31+2.74+0.293+3.8+3.22+2.97+3.89</f>
        <v>24.485999999999997</v>
      </c>
      <c r="U35" s="20">
        <f>3.89+2.97+3.22+0.464+0.272+2.07+0.98+0.36+3.58+2.57+1.39+0.876</f>
        <v>22.642000000000003</v>
      </c>
      <c r="V35" s="20">
        <f>3.89+2.97+3.22+0.464+0.272+2.07+0.98+0.36+3.58+2.57+1.39+0.876+5.21</f>
        <v>27.852000000000004</v>
      </c>
      <c r="W35" s="20">
        <f>3.89+2.97+3.22+0.464+0.272+2.07+0.98+0.36+3.58+1.34+2.82+2.13+1.96+4.14+1.23+3.68</f>
        <v>35.106000000000002</v>
      </c>
      <c r="X35" s="20">
        <f>3.89+2.97+3.22+0.464+0.272+2.07+0.98+0.36+3.58+1.34+2.82+2.13+1.96+4.14</f>
        <v>30.196000000000002</v>
      </c>
      <c r="Y35" s="20">
        <f>3.89+2.97+3.22+0.464+0.272+2.07+0.98+0.36+3.58+1.34+2.82+2.13+1.96</f>
        <v>26.056000000000001</v>
      </c>
      <c r="Z35" s="20">
        <f>3.89+2.97+3.22+0.464+0.272+2.07+0.98+0.36+3.58+1.34+2.82+2.13+1.96</f>
        <v>26.056000000000001</v>
      </c>
    </row>
    <row r="36" spans="1:26" x14ac:dyDescent="0.25">
      <c r="A36" s="21" t="s">
        <v>7</v>
      </c>
      <c r="B36" s="20">
        <f>1.34+3.58+0.98+0.36+2.07+0.272+0.464+3.22+2.97</f>
        <v>15.256000000000002</v>
      </c>
      <c r="C36" s="20">
        <f>3.58+0.98+0.36+2.07+0.272+0.464+3.22+2.97</f>
        <v>13.916000000000002</v>
      </c>
      <c r="D36" s="20">
        <f>3.58+0.98+0.36+2.07+0.272+0.464+3.22+2.97</f>
        <v>13.916000000000002</v>
      </c>
      <c r="E36" s="20">
        <f>2.97+3.22+0.464+0.272+2.07+0.36</f>
        <v>9.3559999999999999</v>
      </c>
      <c r="F36" s="20">
        <f>0.405+0.464+3.22+2.97</f>
        <v>7.0590000000000011</v>
      </c>
      <c r="G36" s="20">
        <f>0.405+0.464+3.22+2.97</f>
        <v>7.0590000000000011</v>
      </c>
      <c r="H36" s="20">
        <v>3.89</v>
      </c>
      <c r="I36" s="22">
        <v>0</v>
      </c>
      <c r="J36" s="20">
        <f>2.97</f>
        <v>2.97</v>
      </c>
      <c r="K36" s="20">
        <f>3.89+5.79+0.405+0.272+0.879</f>
        <v>11.235999999999999</v>
      </c>
      <c r="L36" s="20">
        <f>3.8+3.22+2.97</f>
        <v>9.99</v>
      </c>
      <c r="M36" s="20">
        <f>3.8+3.22+2.97+0.293+2.74+0.388+0.387</f>
        <v>13.798</v>
      </c>
      <c r="N36" s="20">
        <f>2.97+3.22+3.8+0.293+2.74+4.31</f>
        <v>17.332999999999998</v>
      </c>
      <c r="O36" s="20">
        <f>2.97+3.22+3.8+0.293+2.74+4.31</f>
        <v>17.332999999999998</v>
      </c>
      <c r="P36" s="20">
        <f>2.97+3.22+3.8+0.293+2.74+4.31</f>
        <v>17.332999999999998</v>
      </c>
      <c r="Q36" s="20">
        <f>2.97+3.22+3.8+0.293+2.74+4.31+3.1</f>
        <v>20.433</v>
      </c>
      <c r="R36" s="20">
        <f>3.72+3.1+4.31+2.74+0.293+3.8+3.22+2.97</f>
        <v>24.152999999999995</v>
      </c>
      <c r="S36" s="20">
        <f>0.684+0.203+3.06+4.31+2.74+0.293+3.8+3.22+2.97</f>
        <v>21.279999999999998</v>
      </c>
      <c r="T36" s="20">
        <f>0.203+3.06+4.31+2.74+0.293+3.8+3.22+2.97</f>
        <v>20.595999999999997</v>
      </c>
      <c r="U36" s="20">
        <f>2.97+3.22+0.464+0.272+2.07+0.98+0.36+3.58+2.57+1.39+0.876</f>
        <v>18.752000000000002</v>
      </c>
      <c r="V36" s="20">
        <f>2.97+3.22+0.464+0.272+2.07+0.98+0.36+3.58+2.57+1.39+0.876+5.21</f>
        <v>23.962000000000003</v>
      </c>
      <c r="W36" s="20">
        <f>3.68+1.23+4.14+1.96+2.13+2.82+1.34+3.58+0.98+0.36+2.07+0.272+0.464+3.22+2.97</f>
        <v>31.215999999999998</v>
      </c>
      <c r="X36" s="20">
        <f>2.97+3.22+0.464+0.272+2.07+0.98+0.36+3.58+1.34+2.82+2.13+1.96+4.14</f>
        <v>26.306000000000001</v>
      </c>
      <c r="Y36" s="20">
        <f>2.97+3.22+0.464+0.272+2.07+0.98+0.36+3.58+1.34+2.82+2.13+1.96</f>
        <v>22.166</v>
      </c>
      <c r="Z36" s="20">
        <f>2.97+3.22+0.464+0.272+2.07+0.98+0.36+3.58+1.34+2.82+2.13+1.96</f>
        <v>22.166</v>
      </c>
    </row>
    <row r="37" spans="1:26" x14ac:dyDescent="0.25">
      <c r="A37" s="21" t="s">
        <v>23</v>
      </c>
      <c r="B37" s="20">
        <f>1.34+3.58+0.98+0.36+2.07+0.272+0.464+3.22</f>
        <v>12.286000000000001</v>
      </c>
      <c r="C37" s="20">
        <f>3.58+0.98+0.36+2.07+0.272+0.464+3.22</f>
        <v>10.946000000000002</v>
      </c>
      <c r="D37" s="20">
        <f>3.58+0.98+0.36+2.07+0.272+0.464+3.22</f>
        <v>10.946000000000002</v>
      </c>
      <c r="E37" s="20">
        <f>0.36+2.07+0.272+0.464+3.22</f>
        <v>6.3860000000000001</v>
      </c>
      <c r="F37" s="24">
        <f>0.405+0.464+3.22</f>
        <v>4.0890000000000004</v>
      </c>
      <c r="G37" s="24">
        <f>0.405+0.464+3.22</f>
        <v>4.0890000000000004</v>
      </c>
      <c r="H37" s="20">
        <f>3.89+2.97</f>
        <v>6.86</v>
      </c>
      <c r="I37" s="20">
        <f>2.97</f>
        <v>2.97</v>
      </c>
      <c r="J37" s="22">
        <v>0</v>
      </c>
      <c r="K37" s="24">
        <f>0.879+0.272+0.464+3.22</f>
        <v>4.835</v>
      </c>
      <c r="L37" s="20">
        <f>3.8+3.22</f>
        <v>7.02</v>
      </c>
      <c r="M37" s="20">
        <f>3.8+3.22+0.293+2.74+0.388+0.387</f>
        <v>10.828000000000001</v>
      </c>
      <c r="N37" s="20">
        <f>4.31+2.74+0.293+3.8+3.22</f>
        <v>14.363000000000001</v>
      </c>
      <c r="O37" s="20">
        <f t="shared" ref="O37:P37" si="14">4.31+2.74+0.293+3.8+3.22</f>
        <v>14.363000000000001</v>
      </c>
      <c r="P37" s="20">
        <f t="shared" si="14"/>
        <v>14.363000000000001</v>
      </c>
      <c r="Q37" s="20">
        <f>3.22+3.8+0.293+2.74+4.31+3.1</f>
        <v>17.463000000000001</v>
      </c>
      <c r="R37" s="20">
        <f>3.72+3.1+4.31+2.74+0.293+3.8+3.22</f>
        <v>21.182999999999996</v>
      </c>
      <c r="S37" s="20">
        <f>0.684+0.203+3.06+4.31+2.74+0.293+3.8+3.22</f>
        <v>18.309999999999999</v>
      </c>
      <c r="T37" s="20">
        <f>0.203+3.06+4.31+2.74+0.293+3.8+3.22</f>
        <v>17.625999999999998</v>
      </c>
      <c r="U37" s="20">
        <f>3.22+0.464+0.272+2.07+0.98+0.36+3.58+2.57+1.39+0.876</f>
        <v>15.782000000000002</v>
      </c>
      <c r="V37" s="20">
        <f>3.22+0.464+0.272+2.07+0.98+0.36+3.58+2.57+1.39+0.876+5.21</f>
        <v>20.992000000000001</v>
      </c>
      <c r="W37" s="20">
        <f>3.68+1.23+4.14+1.96+2.13+2.82+1.34+3.58+0.98+0.36+2.07+0.272+0.464+3.22</f>
        <v>28.245999999999999</v>
      </c>
      <c r="X37" s="20">
        <f>3.22+0.464+0.272+2.07+0.98+0.36+3.58+1.34+2.82+2.13+1.96+4.14</f>
        <v>23.336000000000002</v>
      </c>
      <c r="Y37" s="20">
        <f>3.22+0.464+0.272+2.07+0.98+0.36+3.58+1.34+2.82+2.13+1.96</f>
        <v>19.196000000000002</v>
      </c>
      <c r="Z37" s="20">
        <f>3.22+0.464+0.272+2.07+0.98+0.36+3.58+1.34+2.82+2.13+1.96</f>
        <v>19.196000000000002</v>
      </c>
    </row>
    <row r="38" spans="1:26" x14ac:dyDescent="0.25">
      <c r="A38" s="21" t="s">
        <v>22</v>
      </c>
      <c r="B38" s="20">
        <f>1.34+3.58+0.98+0.36+2.07+0.879</f>
        <v>9.2089999999999996</v>
      </c>
      <c r="C38" s="20">
        <f>3.58+0.98+0.36+2.07+0.879</f>
        <v>7.8689999999999998</v>
      </c>
      <c r="D38" s="20">
        <f>3.58+0.98+0.36+2.07+0.879</f>
        <v>7.8689999999999998</v>
      </c>
      <c r="E38" s="20">
        <f>0.36+2.07+0.879</f>
        <v>3.3089999999999997</v>
      </c>
      <c r="F38" s="24">
        <f>0.879+0.272+0.405</f>
        <v>1.556</v>
      </c>
      <c r="G38" s="24">
        <f>0.879+0.272+0.405</f>
        <v>1.556</v>
      </c>
      <c r="H38" s="20">
        <f>3.89+2.97+3.22+0.464+0.272+0.879</f>
        <v>11.695</v>
      </c>
      <c r="I38" s="20">
        <f>3.89+5.79+0.405+0.272+0.879</f>
        <v>11.235999999999999</v>
      </c>
      <c r="J38" s="24">
        <f>0.879+0.272+0.464+3.22</f>
        <v>4.835</v>
      </c>
      <c r="K38" s="22">
        <v>0</v>
      </c>
      <c r="L38" s="20">
        <v>1.81</v>
      </c>
      <c r="M38" s="20">
        <f>1.81+0.293+2.74+0.388+0.387</f>
        <v>5.6180000000000003</v>
      </c>
      <c r="N38" s="20">
        <f>4.31+2.74+0.293+1.81</f>
        <v>9.1530000000000005</v>
      </c>
      <c r="O38" s="20">
        <f t="shared" ref="O38:P38" si="15">4.31+2.74+0.293+1.81</f>
        <v>9.1530000000000005</v>
      </c>
      <c r="P38" s="20">
        <f t="shared" si="15"/>
        <v>9.1530000000000005</v>
      </c>
      <c r="Q38" s="20">
        <f>1.81+0.293+2.74+4.31+3.1</f>
        <v>12.252999999999998</v>
      </c>
      <c r="R38" s="20">
        <f>3.72+3.1+4.31+2.74+0.293+1.81</f>
        <v>15.972999999999999</v>
      </c>
      <c r="S38" s="20">
        <f>0.684+0.203+3.06+4.31+2.74+0.293+1.81</f>
        <v>13.1</v>
      </c>
      <c r="T38" s="20">
        <f>0.203+3.06+4.31+2.74+0.293+1.81</f>
        <v>12.415999999999999</v>
      </c>
      <c r="U38" s="20">
        <f>0.876+1.39+0.455+0.684+0.203+3.06+4.31+2.74+0.293+1.81</f>
        <v>15.821</v>
      </c>
      <c r="V38" s="20">
        <f>0.879+2.07+0.98+0.36+3.58+2.57+1.39+0.876+5.21</f>
        <v>17.914999999999999</v>
      </c>
      <c r="W38" s="20">
        <f>3.68+1.23+4.14+1.96+2.13+2.82+1.34+3.58+0.98+0.36+2.07+0.879</f>
        <v>25.169000000000004</v>
      </c>
      <c r="X38" s="20">
        <f>4.14+1.96+2.13+2.82+1.34+3.58+0.98+0.36+2.07+0.879</f>
        <v>20.259</v>
      </c>
      <c r="Y38" s="20">
        <f>1.96+2.13+2.82+1.34+3.58+0.98+0.36+2.07+0.879</f>
        <v>16.119</v>
      </c>
      <c r="Z38" s="20">
        <f>1.96+2.13+2.82+1.34+3.58+0.98+0.36+2.07+0.879</f>
        <v>16.119</v>
      </c>
    </row>
    <row r="39" spans="1:26" x14ac:dyDescent="0.25">
      <c r="A39" s="21" t="s">
        <v>19</v>
      </c>
      <c r="B39" s="20">
        <f>1.34+3.58+0.98+0.36+2.07+0.272+0.464+3.8</f>
        <v>12.866</v>
      </c>
      <c r="C39" s="20">
        <f>3.58+0.98+0.36+2.07+0.272+0.464+3.8</f>
        <v>11.526</v>
      </c>
      <c r="D39" s="20">
        <f>3.58+0.98+0.36+2.07+0.272+0.464+3.8</f>
        <v>11.526</v>
      </c>
      <c r="E39" s="20">
        <f>3.8+0.464+0.272+2.07+0.36</f>
        <v>6.9660000000000002</v>
      </c>
      <c r="F39" s="20">
        <f>0.405+0.464+3.8</f>
        <v>4.6689999999999996</v>
      </c>
      <c r="G39" s="20">
        <f>0.405+0.464+3.8</f>
        <v>4.6689999999999996</v>
      </c>
      <c r="H39" s="20">
        <f>3.8+3.22+2.97+3.89</f>
        <v>13.88</v>
      </c>
      <c r="I39" s="20">
        <f>3.8+3.22+2.97</f>
        <v>9.99</v>
      </c>
      <c r="J39" s="20">
        <f>3.8+3.22</f>
        <v>7.02</v>
      </c>
      <c r="K39" s="20">
        <v>1.81</v>
      </c>
      <c r="L39" s="22">
        <v>0</v>
      </c>
      <c r="M39" s="20">
        <f>0.293+2.74+0.388+0.387</f>
        <v>3.8080000000000003</v>
      </c>
      <c r="N39" s="20">
        <f>4.31+2.74+0.293</f>
        <v>7.343</v>
      </c>
      <c r="O39" s="20">
        <f t="shared" ref="O39:P39" si="16">4.31+2.74+0.293</f>
        <v>7.343</v>
      </c>
      <c r="P39" s="20">
        <f t="shared" si="16"/>
        <v>7.343</v>
      </c>
      <c r="Q39" s="20">
        <f>0.293+2.74+4.31+3.1</f>
        <v>10.443</v>
      </c>
      <c r="R39" s="20">
        <f>3.72+3.1+4.31+2.74+0.293</f>
        <v>14.162999999999998</v>
      </c>
      <c r="S39" s="20">
        <f>0.684+0.203+3.06+4.31+2.74+0.293</f>
        <v>11.29</v>
      </c>
      <c r="T39" s="20">
        <f>0.203+3.06+4.31+2.74+0.293</f>
        <v>10.605999999999998</v>
      </c>
      <c r="U39" s="20">
        <f>0.876+1.39+0.455+0.684+0.203+3.06+4.31+2.74+0.293</f>
        <v>14.010999999999999</v>
      </c>
      <c r="V39" s="20">
        <f>5.21+0.876+1.39+0.455+0.684+0.203+3.06+4.31+2.74+0.293</f>
        <v>19.220999999999997</v>
      </c>
      <c r="W39" s="20">
        <f>3.68+1.23+4.14+1.96+2.13+2.82+1.34+3.58+0.98+0.36+2.07+0.272+0.464+3.8</f>
        <v>28.826000000000001</v>
      </c>
      <c r="X39" s="20">
        <f>4.14+1.96+2.13+2.82+1.34+3.58+0.98+0.36+2.07+0.272+0.464+3.8</f>
        <v>23.915999999999997</v>
      </c>
      <c r="Y39" s="20">
        <f>1.96+2.13+2.82+1.34+3.58+0.98+0.36+2.07+0.272+0.464+3.8</f>
        <v>19.776</v>
      </c>
      <c r="Z39" s="20">
        <f>1.96+2.13+2.82+1.34+3.58+0.98+0.36+2.07+0.272+0.464+3.8</f>
        <v>19.776</v>
      </c>
    </row>
    <row r="40" spans="1:26" x14ac:dyDescent="0.25">
      <c r="A40" s="21" t="s">
        <v>2</v>
      </c>
      <c r="B40" s="20">
        <f>1.34+3.58+0.98+0.36+2.07+0.272+0.464+3.8+0.293+2.74+0.388+0.387</f>
        <v>16.673999999999999</v>
      </c>
      <c r="C40" s="20">
        <f>3.58+0.98+0.36+2.07+0.272+0.464+3.8+0.293+2.74+0.388+0.387</f>
        <v>15.334</v>
      </c>
      <c r="D40" s="20">
        <f>3.58+0.98+0.36+2.07+0.272+0.464+3.8+0.293+2.74+0.388+0.387</f>
        <v>15.334</v>
      </c>
      <c r="E40" s="20">
        <f>3.8+0.464+0.272+2.07+0.36+0.293+2.74+0.388+0.387</f>
        <v>10.774000000000001</v>
      </c>
      <c r="F40" s="20">
        <f>0.405+0.464+3.8+0.293+2.74+0.388+0.387</f>
        <v>8.4770000000000003</v>
      </c>
      <c r="G40" s="20">
        <f>0.405+0.464+3.8+0.293+2.74+0.388+0.387</f>
        <v>8.4770000000000003</v>
      </c>
      <c r="H40" s="20">
        <f>3.8+3.22+2.97+3.89+0.293+2.74+0.388+0.387</f>
        <v>17.688000000000002</v>
      </c>
      <c r="I40" s="20">
        <f>3.8+3.22+2.97+0.293+2.74+0.388+0.387</f>
        <v>13.798</v>
      </c>
      <c r="J40" s="20">
        <f>3.8+3.22+0.293+2.74+0.388+0.387</f>
        <v>10.828000000000001</v>
      </c>
      <c r="K40" s="20">
        <f>1.81+0.293+2.74+0.388+0.387</f>
        <v>5.6180000000000003</v>
      </c>
      <c r="L40" s="20">
        <f>0.293+2.74+0.388+0.387</f>
        <v>3.8080000000000003</v>
      </c>
      <c r="M40" s="22">
        <v>0</v>
      </c>
      <c r="N40" s="20">
        <f>0.388+0.387+4.31</f>
        <v>5.085</v>
      </c>
      <c r="O40" s="20">
        <f t="shared" ref="O40:P40" si="17">0.388+0.387+4.31</f>
        <v>5.085</v>
      </c>
      <c r="P40" s="20">
        <f t="shared" si="17"/>
        <v>5.085</v>
      </c>
      <c r="Q40" s="20">
        <f>0.387+0.388+4.31+3.1</f>
        <v>8.1850000000000005</v>
      </c>
      <c r="R40" s="20">
        <f>0.387+0.388+4.31+3.1+3.72</f>
        <v>11.905000000000001</v>
      </c>
      <c r="S40" s="20">
        <f>0.684+0.203+3.06+4.31+0.387+0.388</f>
        <v>9.032</v>
      </c>
      <c r="T40" s="20">
        <f>0.203+3.06+4.31+0.387+0.388</f>
        <v>8.347999999999999</v>
      </c>
      <c r="U40" s="20">
        <f>0.876+1.39+0.455+0.684+0.203+3.06+4.31+0.387+0.388</f>
        <v>11.753</v>
      </c>
      <c r="V40" s="20">
        <f>5.21+0.876+1.39+0.455+0.684+0.203+3.06+4.31+0.387+0.388</f>
        <v>16.963000000000001</v>
      </c>
      <c r="W40" s="20">
        <f>1.38+3.06+0.203+0.684+0.455+1.39+0.876+5.21+1.46+3.68</f>
        <v>18.398</v>
      </c>
      <c r="X40" s="20">
        <f>1.38+3.06+0.203+0.684+0.455+1.39+0.876+5.21+1.46+1.23</f>
        <v>15.948</v>
      </c>
      <c r="Y40" s="20">
        <f>1.96+2.13+2.82+1.34+2.57+0.455+0.684+0.203+3.06+1.38</f>
        <v>16.602</v>
      </c>
      <c r="Z40" s="20">
        <f>1.96+2.13+2.82+1.34+2.57+0.455+0.684+0.203+3.06+1.38</f>
        <v>16.602</v>
      </c>
    </row>
    <row r="41" spans="1:26" x14ac:dyDescent="0.25">
      <c r="A41" s="21" t="s">
        <v>24</v>
      </c>
      <c r="B41" s="20">
        <f>1.34+2.57+0.455+0.684+0.203+3.06</f>
        <v>8.3120000000000012</v>
      </c>
      <c r="C41" s="20">
        <f>2.57+0.455+0.684+0.203+3.06</f>
        <v>6.9719999999999995</v>
      </c>
      <c r="D41" s="20">
        <f>2.57+0.455+0.684+0.203+3.06</f>
        <v>6.9719999999999995</v>
      </c>
      <c r="E41" s="20">
        <f>4.31+2.74+0.293+3.8+0.464+0.272+2.07+0.36</f>
        <v>14.309000000000001</v>
      </c>
      <c r="F41" s="20">
        <f t="shared" ref="F41:G43" si="18">0.405+0.464+3.8+0.293+2.74+4.31</f>
        <v>12.012</v>
      </c>
      <c r="G41" s="20">
        <f t="shared" si="18"/>
        <v>12.012</v>
      </c>
      <c r="H41" s="20">
        <f>4.31+2.74+0.293+3.8+3.22+2.97+3.89</f>
        <v>21.223000000000003</v>
      </c>
      <c r="I41" s="20">
        <f>2.97+3.22+3.8+0.293+2.74+4.31</f>
        <v>17.332999999999998</v>
      </c>
      <c r="J41" s="20">
        <f>4.31+2.74+0.293+3.8+3.22</f>
        <v>14.363000000000001</v>
      </c>
      <c r="K41" s="20">
        <f>4.31+2.74+0.293+1.81</f>
        <v>9.1530000000000005</v>
      </c>
      <c r="L41" s="20">
        <f>4.31+2.74+0.293</f>
        <v>7.343</v>
      </c>
      <c r="M41" s="20">
        <f>0.388+0.387+4.31</f>
        <v>5.085</v>
      </c>
      <c r="N41" s="22">
        <v>0</v>
      </c>
      <c r="O41" s="22">
        <v>0</v>
      </c>
      <c r="P41" s="22">
        <v>0</v>
      </c>
      <c r="Q41" s="20">
        <v>3.1</v>
      </c>
      <c r="R41" s="20">
        <f>3.1+3.72</f>
        <v>6.82</v>
      </c>
      <c r="S41" s="20">
        <f>3.06+0.203+0.684</f>
        <v>3.9470000000000001</v>
      </c>
      <c r="T41" s="20">
        <f>3.06+0.203</f>
        <v>3.2629999999999999</v>
      </c>
      <c r="U41" s="20">
        <f>3.06+0.203+0.684+0.455+1.39+0.876</f>
        <v>6.6680000000000001</v>
      </c>
      <c r="V41" s="20">
        <f>5.21+0.876+1.39+0.455+0.684+0.203+3.06</f>
        <v>11.878</v>
      </c>
      <c r="W41" s="20">
        <f>3.68+1.46+5.21+0.876+1.39+0.455+0.684+0.203+3.06</f>
        <v>17.018000000000001</v>
      </c>
      <c r="X41" s="20">
        <f>1.23+1.46+5.21+0.876+1.39+0.455+0.684+0.203+3.06</f>
        <v>14.568</v>
      </c>
      <c r="Y41" s="20">
        <f t="shared" ref="Y41:Z43" si="19">1.96+2.13+2.82+1.34+2.57+0.455+0.684+0.203+3.06</f>
        <v>15.222</v>
      </c>
      <c r="Z41" s="20">
        <f t="shared" si="19"/>
        <v>15.222</v>
      </c>
    </row>
    <row r="42" spans="1:26" x14ac:dyDescent="0.25">
      <c r="A42" s="21" t="s">
        <v>8</v>
      </c>
      <c r="B42" s="20">
        <f>1.34+2.57+0.455+0.684+0.203+3.06</f>
        <v>8.3120000000000012</v>
      </c>
      <c r="C42" s="20">
        <f t="shared" ref="C42:D43" si="20">2.57+0.455+0.684+0.203+3.06</f>
        <v>6.9719999999999995</v>
      </c>
      <c r="D42" s="20">
        <f t="shared" si="20"/>
        <v>6.9719999999999995</v>
      </c>
      <c r="E42" s="20">
        <f t="shared" ref="E42:E43" si="21">4.31+2.74+0.293+3.8+0.464+0.272+2.07+0.36</f>
        <v>14.309000000000001</v>
      </c>
      <c r="F42" s="20">
        <f t="shared" si="18"/>
        <v>12.012</v>
      </c>
      <c r="G42" s="20">
        <f t="shared" si="18"/>
        <v>12.012</v>
      </c>
      <c r="H42" s="20">
        <f>4.31+2.74+0.293+3.8+3.22+2.97+3.89</f>
        <v>21.223000000000003</v>
      </c>
      <c r="I42" s="20">
        <f>2.97+3.22+3.8+0.293+2.74+4.31</f>
        <v>17.332999999999998</v>
      </c>
      <c r="J42" s="20">
        <f>4.31+2.74+0.293+3.8+3.22</f>
        <v>14.363000000000001</v>
      </c>
      <c r="K42" s="20">
        <f>4.31+2.74+0.293+1.81</f>
        <v>9.1530000000000005</v>
      </c>
      <c r="L42" s="20">
        <f>4.31+2.74+0.293</f>
        <v>7.343</v>
      </c>
      <c r="M42" s="20">
        <f>0.388+0.387+4.31</f>
        <v>5.085</v>
      </c>
      <c r="N42" s="22">
        <v>0</v>
      </c>
      <c r="O42" s="22">
        <v>0</v>
      </c>
      <c r="P42" s="22">
        <v>0</v>
      </c>
      <c r="Q42" s="20">
        <v>3.1</v>
      </c>
      <c r="R42" s="20">
        <f>3.1+3.72</f>
        <v>6.82</v>
      </c>
      <c r="S42" s="20">
        <f>3.06+0.203+0.684</f>
        <v>3.9470000000000001</v>
      </c>
      <c r="T42" s="20">
        <f>3.06+0.203</f>
        <v>3.2629999999999999</v>
      </c>
      <c r="U42" s="20">
        <f>3.06+0.203+0.684+0.455+1.39+0.876</f>
        <v>6.6680000000000001</v>
      </c>
      <c r="V42" s="20">
        <f>5.21+0.876+1.39+0.455+0.684+0.203+3.06</f>
        <v>11.878</v>
      </c>
      <c r="W42" s="20">
        <f>3.68+1.46+5.21+0.876+1.39+0.455+0.684+0.203+3.06</f>
        <v>17.018000000000001</v>
      </c>
      <c r="X42" s="20">
        <f>1.23+1.46+5.21+0.876+1.39+0.455+0.684+0.203+3.06</f>
        <v>14.568</v>
      </c>
      <c r="Y42" s="20">
        <f t="shared" si="19"/>
        <v>15.222</v>
      </c>
      <c r="Z42" s="20">
        <f t="shared" si="19"/>
        <v>15.222</v>
      </c>
    </row>
    <row r="43" spans="1:26" x14ac:dyDescent="0.25">
      <c r="A43" s="21" t="s">
        <v>30</v>
      </c>
      <c r="B43" s="20">
        <f>1.34+2.57+0.455+0.684+0.203+3.06</f>
        <v>8.3120000000000012</v>
      </c>
      <c r="C43" s="20">
        <f t="shared" si="20"/>
        <v>6.9719999999999995</v>
      </c>
      <c r="D43" s="20">
        <f t="shared" si="20"/>
        <v>6.9719999999999995</v>
      </c>
      <c r="E43" s="20">
        <f t="shared" si="21"/>
        <v>14.309000000000001</v>
      </c>
      <c r="F43" s="20">
        <f t="shared" si="18"/>
        <v>12.012</v>
      </c>
      <c r="G43" s="20">
        <f t="shared" si="18"/>
        <v>12.012</v>
      </c>
      <c r="H43" s="20">
        <f>4.31+2.74+0.293+3.8+3.22+2.97+3.89</f>
        <v>21.223000000000003</v>
      </c>
      <c r="I43" s="20">
        <f>2.97+3.22+3.8+0.293+2.74+4.31</f>
        <v>17.332999999999998</v>
      </c>
      <c r="J43" s="20">
        <f>4.31+2.74+0.293+3.8+3.22</f>
        <v>14.363000000000001</v>
      </c>
      <c r="K43" s="20">
        <f>4.31+2.74+0.293+1.81</f>
        <v>9.1530000000000005</v>
      </c>
      <c r="L43" s="20">
        <f>4.31+2.74+0.293</f>
        <v>7.343</v>
      </c>
      <c r="M43" s="20">
        <f>0.388+0.387+4.31</f>
        <v>5.085</v>
      </c>
      <c r="N43" s="22">
        <v>0</v>
      </c>
      <c r="O43" s="22">
        <v>0</v>
      </c>
      <c r="P43" s="22">
        <v>0</v>
      </c>
      <c r="Q43" s="20">
        <v>3.1</v>
      </c>
      <c r="R43" s="20">
        <f>3.1+3.72</f>
        <v>6.82</v>
      </c>
      <c r="S43" s="20">
        <f>3.06+0.203+0.684</f>
        <v>3.9470000000000001</v>
      </c>
      <c r="T43" s="20">
        <f>3.06+0.203</f>
        <v>3.2629999999999999</v>
      </c>
      <c r="U43" s="20">
        <f>3.06+0.203+0.684+0.455+1.39+0.876</f>
        <v>6.6680000000000001</v>
      </c>
      <c r="V43" s="20">
        <f>5.21+0.876+1.39+0.455+0.684+0.203+3.06</f>
        <v>11.878</v>
      </c>
      <c r="W43" s="20">
        <f>3.68+1.46+5.21+0.876+1.39+0.455+0.684+0.203+3.06</f>
        <v>17.018000000000001</v>
      </c>
      <c r="X43" s="20">
        <f>1.23+1.46+5.21+0.876+1.39+0.455+0.684+0.203+3.06</f>
        <v>14.568</v>
      </c>
      <c r="Y43" s="20">
        <f t="shared" si="19"/>
        <v>15.222</v>
      </c>
      <c r="Z43" s="20">
        <f t="shared" si="19"/>
        <v>15.222</v>
      </c>
    </row>
    <row r="44" spans="1:26" x14ac:dyDescent="0.25">
      <c r="A44" s="21" t="s">
        <v>0</v>
      </c>
      <c r="B44" s="20">
        <f>1.34+2.57+0.455+0.684+0.203+3.06+3.1</f>
        <v>11.412000000000001</v>
      </c>
      <c r="C44" s="20">
        <f>2.57+0.455+0.684+0.203+3.06+3.1</f>
        <v>10.071999999999999</v>
      </c>
      <c r="D44" s="20">
        <f>2.57+0.455+0.684+0.203+3.06+3.1</f>
        <v>10.071999999999999</v>
      </c>
      <c r="E44" s="20">
        <f>3.1+4.31+2.74+0.293+3.8+0.464+0.272+2.07+0.36</f>
        <v>17.408999999999999</v>
      </c>
      <c r="F44" s="20">
        <f>0.405+0.464+3.8+0.293+2.74+4.31+3.1</f>
        <v>15.112</v>
      </c>
      <c r="G44" s="20">
        <f t="shared" ref="G44" si="22">0.405+0.464+3.8+0.293+2.74+4.31+3.1</f>
        <v>15.112</v>
      </c>
      <c r="H44" s="20">
        <f>3.89+2.97+3.22+3.8+0.293+2.74+4.31+3.1</f>
        <v>24.322999999999997</v>
      </c>
      <c r="I44" s="20">
        <f>2.97+3.22+3.8+0.293+2.74+4.31+3.1</f>
        <v>20.433</v>
      </c>
      <c r="J44" s="20">
        <f>3.22+3.8+0.293+2.74+4.31+3.1</f>
        <v>17.463000000000001</v>
      </c>
      <c r="K44" s="20">
        <f>1.81+0.293+2.74+4.31+3.1</f>
        <v>12.252999999999998</v>
      </c>
      <c r="L44" s="20">
        <f>0.293+2.74+4.31+3.1</f>
        <v>10.443</v>
      </c>
      <c r="M44" s="20">
        <f>0.387+0.388+4.31+3.1</f>
        <v>8.1850000000000005</v>
      </c>
      <c r="N44" s="20">
        <v>3.1</v>
      </c>
      <c r="O44" s="20">
        <v>3.1</v>
      </c>
      <c r="P44" s="20">
        <v>3.1</v>
      </c>
      <c r="Q44" s="22">
        <v>0</v>
      </c>
      <c r="R44" s="20">
        <v>3.72</v>
      </c>
      <c r="S44" s="20">
        <f>3.1+3.06+0.203+0.684</f>
        <v>7.0470000000000006</v>
      </c>
      <c r="T44" s="20">
        <f>3.1+3.06+0.203</f>
        <v>6.3630000000000004</v>
      </c>
      <c r="U44" s="20">
        <f>3.1+3.06+0.203+0.684+0.455+1.39+0.876</f>
        <v>9.7680000000000007</v>
      </c>
      <c r="V44" s="20">
        <f>3.1+3.06+0.203+0.684+0.455+1.39+0.876+5.21</f>
        <v>14.978000000000002</v>
      </c>
      <c r="W44" s="20">
        <f>3.68+1.46+5.21+0.876+1.39+0.455+0.684+0.203+3.06+3.1</f>
        <v>20.118000000000002</v>
      </c>
      <c r="X44" s="20">
        <f>1.23+1.46+5.21+0.876+1.39+0.455+0.684+0.203+3.06+3.1</f>
        <v>17.667999999999999</v>
      </c>
      <c r="Y44" s="20">
        <f>1.96+2.13+2.82+1.34+2.57+0.455+0.684+0.203+3.06+3.1</f>
        <v>18.321999999999999</v>
      </c>
      <c r="Z44" s="20">
        <f>1.96+2.13+2.82+1.34+2.57+0.455+0.684+0.203+3.06+3.1</f>
        <v>18.321999999999999</v>
      </c>
    </row>
    <row r="45" spans="1:26" x14ac:dyDescent="0.25">
      <c r="A45" s="21" t="s">
        <v>3</v>
      </c>
      <c r="B45" s="24">
        <f>1.34+2.57+1.39+2.05+9.89</f>
        <v>17.240000000000002</v>
      </c>
      <c r="C45" s="20">
        <f>2.57+1.39+2.05+9.89</f>
        <v>15.9</v>
      </c>
      <c r="D45" s="20">
        <f>2.57+1.39+2.05+9.89</f>
        <v>15.9</v>
      </c>
      <c r="E45" s="20">
        <f>0.98+3.58+2.57+1.39+2.05+9.89</f>
        <v>20.46</v>
      </c>
      <c r="F45" s="20">
        <f>3.72+3.1+4.31+2.74+0.293+3.8+0.464+0.405</f>
        <v>18.831999999999997</v>
      </c>
      <c r="G45" s="20">
        <f>3.72+3.1+4.31+2.74+0.293+3.8+0.464+0.405</f>
        <v>18.831999999999997</v>
      </c>
      <c r="H45" s="20">
        <f>3.72+3.1+4.31+2.74+0.293+3.8+3.22+2.97+3.89</f>
        <v>28.042999999999996</v>
      </c>
      <c r="I45" s="20">
        <f>3.72+3.1+4.31+2.74+0.293+3.8+3.22+2.97</f>
        <v>24.152999999999995</v>
      </c>
      <c r="J45" s="20">
        <f>3.72+3.1+4.31+2.74+0.293+3.8+3.22</f>
        <v>21.182999999999996</v>
      </c>
      <c r="K45" s="20">
        <f>3.72+3.1+4.31+2.74+0.293+1.81</f>
        <v>15.972999999999999</v>
      </c>
      <c r="L45" s="20">
        <f>3.72+3.1+4.31+2.74+0.293</f>
        <v>14.162999999999998</v>
      </c>
      <c r="M45" s="20">
        <f>0.387+0.388+4.31+3.1+3.72</f>
        <v>11.905000000000001</v>
      </c>
      <c r="N45" s="20">
        <f>3.1+3.72</f>
        <v>6.82</v>
      </c>
      <c r="O45" s="20">
        <f t="shared" ref="O45:P45" si="23">3.1+3.72</f>
        <v>6.82</v>
      </c>
      <c r="P45" s="20">
        <f t="shared" si="23"/>
        <v>6.82</v>
      </c>
      <c r="Q45" s="20">
        <v>3.72</v>
      </c>
      <c r="R45" s="22">
        <v>0</v>
      </c>
      <c r="S45" s="20">
        <f>3.72+3.1+3.06+0.203+0.684</f>
        <v>10.766999999999999</v>
      </c>
      <c r="T45" s="20">
        <f>3.72+3.1+3.06+0.203</f>
        <v>10.083</v>
      </c>
      <c r="U45" s="20">
        <f>9.89+2.05+0.876</f>
        <v>12.816000000000001</v>
      </c>
      <c r="V45" s="20">
        <f>9.89+2.05+0.876+5.21</f>
        <v>18.026</v>
      </c>
      <c r="W45" s="20">
        <f>3.68+1.46+5.21+0.876+2.05+9.89</f>
        <v>23.166</v>
      </c>
      <c r="X45" s="20">
        <f>1.23+1.46+5.21+0.876+2.05+9.89</f>
        <v>20.716000000000001</v>
      </c>
      <c r="Y45" s="20">
        <f>1.96+2.13+2.82+1.34+2.57+0.455+0.684+0.203+3.06+3.1+3.72</f>
        <v>22.041999999999998</v>
      </c>
      <c r="Z45" s="20">
        <f>1.96+2.13+2.82+1.34+2.57+0.455+0.684+0.203+3.06+3.1+3.72</f>
        <v>22.041999999999998</v>
      </c>
    </row>
    <row r="46" spans="1:26" x14ac:dyDescent="0.25">
      <c r="A46" s="21" t="s">
        <v>25</v>
      </c>
      <c r="B46" s="20">
        <f>2.57+0.455+1.34</f>
        <v>4.3650000000000002</v>
      </c>
      <c r="C46" s="20">
        <f>2.57+0.455</f>
        <v>3.0249999999999999</v>
      </c>
      <c r="D46" s="20">
        <f>2.57+0.455</f>
        <v>3.0249999999999999</v>
      </c>
      <c r="E46" s="20">
        <f>0.455+2.57+3.58+0.98</f>
        <v>7.5850000000000009</v>
      </c>
      <c r="F46" s="20">
        <f>0.405+0.272+2.07+0.98+0.36+3.58+2.57+0.455</f>
        <v>10.692</v>
      </c>
      <c r="G46" s="20">
        <f>0.405+0.272+2.07+0.98+0.36+3.58+2.57+0.455</f>
        <v>10.692</v>
      </c>
      <c r="H46" s="20">
        <f>0.684+0.203+3.06+4.31+2.74+0.293+3.8+3.22+2.97+3.89</f>
        <v>25.169999999999998</v>
      </c>
      <c r="I46" s="20">
        <f>0.684+0.203+3.06+4.31+2.74+0.293+3.8+3.22+2.97</f>
        <v>21.279999999999998</v>
      </c>
      <c r="J46" s="20">
        <f>0.684+0.203+3.06+4.31+2.74+0.293+3.8+3.22</f>
        <v>18.309999999999999</v>
      </c>
      <c r="K46" s="20">
        <f>0.684+0.203+3.06+4.31+2.74+0.293+1.81</f>
        <v>13.1</v>
      </c>
      <c r="L46" s="20">
        <f>0.684+0.203+3.06+4.31+2.74+0.293</f>
        <v>11.29</v>
      </c>
      <c r="M46" s="20">
        <f>0.684+0.203+3.06+4.31+0.387+0.388</f>
        <v>9.032</v>
      </c>
      <c r="N46" s="20">
        <f>3.06+0.203+0.684</f>
        <v>3.9470000000000001</v>
      </c>
      <c r="O46" s="20">
        <f t="shared" ref="O46:P46" si="24">3.06+0.203+0.684</f>
        <v>3.9470000000000001</v>
      </c>
      <c r="P46" s="20">
        <f t="shared" si="24"/>
        <v>3.9470000000000001</v>
      </c>
      <c r="Q46" s="20">
        <f>3.1+3.06+0.203+0.684</f>
        <v>7.0470000000000006</v>
      </c>
      <c r="R46" s="20">
        <f>3.72+3.1+3.06+0.203+0.684</f>
        <v>10.766999999999999</v>
      </c>
      <c r="S46" s="22">
        <v>0</v>
      </c>
      <c r="T46" s="20">
        <f>0.684</f>
        <v>0.68400000000000005</v>
      </c>
      <c r="U46" s="20">
        <f>0.455+1.39+0.876</f>
        <v>2.7210000000000001</v>
      </c>
      <c r="V46" s="20">
        <f>0.455+1.39+0.876+5.21</f>
        <v>7.931</v>
      </c>
      <c r="W46" s="20">
        <f>3.68+1.46+5.21+0.876+1.39+0.455</f>
        <v>13.071000000000002</v>
      </c>
      <c r="X46" s="20">
        <f>1.23+1.46+5.21+0.876+1.39+0.455</f>
        <v>10.621</v>
      </c>
      <c r="Y46" s="20">
        <f>1.96+2.13+2.82+1.34+2.57+0.455</f>
        <v>11.275</v>
      </c>
      <c r="Z46" s="20">
        <f>1.96+2.13+2.82+1.34+2.57+0.455</f>
        <v>11.275</v>
      </c>
    </row>
    <row r="47" spans="1:26" x14ac:dyDescent="0.25">
      <c r="A47" s="21" t="s">
        <v>5</v>
      </c>
      <c r="B47" s="20">
        <f>1.34+2.57+0.455+0.684</f>
        <v>5.0490000000000004</v>
      </c>
      <c r="C47" s="20">
        <f>2.57+0.455+0.684</f>
        <v>3.7090000000000001</v>
      </c>
      <c r="D47" s="20">
        <f>2.57+0.455+0.684</f>
        <v>3.7090000000000001</v>
      </c>
      <c r="E47" s="20">
        <f>0.684+0.455+2.57+3.58+0.98</f>
        <v>8.2690000000000001</v>
      </c>
      <c r="F47" s="20">
        <f>0.405+0.272+2.07+0.98+0.36+3.58+2.57+0.455+0.684</f>
        <v>11.375999999999999</v>
      </c>
      <c r="G47" s="20">
        <f>0.405+0.272+2.07+0.98+0.36+3.58+2.57+0.455+0.684</f>
        <v>11.375999999999999</v>
      </c>
      <c r="H47" s="20">
        <f>0.203+3.06+4.31+2.74+0.293+3.8+3.22+2.97+3.89</f>
        <v>24.485999999999997</v>
      </c>
      <c r="I47" s="20">
        <f>0.203+3.06+4.31+2.74+0.293+3.8+3.22+2.97</f>
        <v>20.595999999999997</v>
      </c>
      <c r="J47" s="20">
        <f>0.203+3.06+4.31+2.74+0.293+3.8+3.22</f>
        <v>17.625999999999998</v>
      </c>
      <c r="K47" s="20">
        <f>0.203+3.06+4.31+2.74+0.293+1.81</f>
        <v>12.415999999999999</v>
      </c>
      <c r="L47" s="20">
        <f>0.203+3.06+4.31+2.74+0.293</f>
        <v>10.605999999999998</v>
      </c>
      <c r="M47" s="20">
        <f>0.203+3.06+4.31+0.387+0.388</f>
        <v>8.347999999999999</v>
      </c>
      <c r="N47" s="20">
        <f>3.06+0.203</f>
        <v>3.2629999999999999</v>
      </c>
      <c r="O47" s="20">
        <f>3.06+0.203</f>
        <v>3.2629999999999999</v>
      </c>
      <c r="P47" s="20">
        <f>3.06+0.203</f>
        <v>3.2629999999999999</v>
      </c>
      <c r="Q47" s="20">
        <f>3.1+3.06+0.203</f>
        <v>6.3630000000000004</v>
      </c>
      <c r="R47" s="20">
        <f>3.72+3.1+3.06+0.203</f>
        <v>10.083</v>
      </c>
      <c r="S47" s="20">
        <f>0.684</f>
        <v>0.68400000000000005</v>
      </c>
      <c r="T47" s="22">
        <v>0</v>
      </c>
      <c r="U47" s="20">
        <f>0.684+0.455+1.39+0.876</f>
        <v>3.4049999999999998</v>
      </c>
      <c r="V47" s="20">
        <f>0.684+0.455+1.39+0.876+5.21</f>
        <v>8.6150000000000002</v>
      </c>
      <c r="W47" s="20">
        <f>0.684+0.455+1.39+0.876+5.21+1.46+3.68</f>
        <v>13.754999999999999</v>
      </c>
      <c r="X47" s="20">
        <f>0.684+0.455+1.39+0.876+5.21+1.46+1.23</f>
        <v>11.305</v>
      </c>
      <c r="Y47" s="20">
        <f>1.96+2.13+2.82+1.34+2.57+0.455+0.684</f>
        <v>11.959</v>
      </c>
      <c r="Z47" s="20">
        <f>1.96+2.13+2.82+1.34+2.57+0.455+0.684</f>
        <v>11.959</v>
      </c>
    </row>
    <row r="48" spans="1:26" x14ac:dyDescent="0.25">
      <c r="A48" s="21" t="s">
        <v>17</v>
      </c>
      <c r="B48" s="20">
        <f>1.34+2.57+1.39+0.876</f>
        <v>6.1760000000000002</v>
      </c>
      <c r="C48" s="20">
        <f>2.57+1.39+0.876</f>
        <v>4.8360000000000003</v>
      </c>
      <c r="D48" s="20">
        <f>2.57+1.39+0.876</f>
        <v>4.8360000000000003</v>
      </c>
      <c r="E48" s="20">
        <f>0.876+1.39+2.57+3.58+0.98</f>
        <v>9.3960000000000008</v>
      </c>
      <c r="F48" s="23">
        <f>0.405+0.272+2.07+0.98+0.36+3.58+2.57+1.39+0.876</f>
        <v>12.503</v>
      </c>
      <c r="G48" s="23">
        <f>0.405+0.272+2.07+0.98+0.36+3.58+2.57+1.39+0.876</f>
        <v>12.503</v>
      </c>
      <c r="H48" s="20">
        <f>3.89+2.97+3.22+0.464+0.272+2.07+0.98+0.36+3.58+2.57+1.39+0.876</f>
        <v>22.642000000000003</v>
      </c>
      <c r="I48" s="20">
        <f>2.97+3.22+0.464+0.272+2.07+0.98+0.36+3.58+2.57+1.39+0.876</f>
        <v>18.752000000000002</v>
      </c>
      <c r="J48" s="20">
        <f>3.22+0.464+0.272+2.07+0.98+0.36+3.58+2.57+1.39+0.876</f>
        <v>15.782000000000002</v>
      </c>
      <c r="K48" s="20">
        <f>0.876+1.39+0.455+0.684+0.203+3.06+4.31+2.74+0.293+1.81</f>
        <v>15.821</v>
      </c>
      <c r="L48" s="20">
        <f>0.876+1.39+0.455+0.684+0.203+3.06+4.31+2.74+0.293</f>
        <v>14.010999999999999</v>
      </c>
      <c r="M48" s="20">
        <f>0.876+1.39+0.455+0.684+0.203+3.06+4.31+0.387+0.388</f>
        <v>11.753</v>
      </c>
      <c r="N48" s="20">
        <f>3.06+0.203+0.684+0.455+1.39+0.876</f>
        <v>6.6680000000000001</v>
      </c>
      <c r="O48" s="20">
        <f t="shared" ref="O48:P48" si="25">3.06+0.203+0.684+0.455+1.39+0.876</f>
        <v>6.6680000000000001</v>
      </c>
      <c r="P48" s="20">
        <f t="shared" si="25"/>
        <v>6.6680000000000001</v>
      </c>
      <c r="Q48" s="20">
        <f>3.1+3.06+0.203+0.684+0.455+1.39+0.876</f>
        <v>9.7680000000000007</v>
      </c>
      <c r="R48" s="20">
        <f>9.89+2.05+0.876</f>
        <v>12.816000000000001</v>
      </c>
      <c r="S48" s="20">
        <f>0.455+1.39+0.876</f>
        <v>2.7210000000000001</v>
      </c>
      <c r="T48" s="20">
        <f>0.684+0.455+1.39+0.876</f>
        <v>3.4049999999999998</v>
      </c>
      <c r="U48" s="22">
        <v>0</v>
      </c>
      <c r="V48" s="20">
        <v>5.21</v>
      </c>
      <c r="W48" s="20">
        <f>3.68+1.46+5.21</f>
        <v>10.350000000000001</v>
      </c>
      <c r="X48" s="20">
        <f>1.23+1.46+5.21</f>
        <v>7.9</v>
      </c>
      <c r="Y48" s="20">
        <f>4.14+1.23+1.46+5.21</f>
        <v>12.04</v>
      </c>
      <c r="Z48" s="20">
        <f>4.14+1.23+1.46+5.21</f>
        <v>12.04</v>
      </c>
    </row>
    <row r="49" spans="1:26" x14ac:dyDescent="0.25">
      <c r="A49" s="21" t="s">
        <v>26</v>
      </c>
      <c r="B49" s="20">
        <f>2.57+1.39+0.876+5.21+1.34</f>
        <v>11.385999999999999</v>
      </c>
      <c r="C49" s="20">
        <f>2.57+1.39+0.876+5.21</f>
        <v>10.045999999999999</v>
      </c>
      <c r="D49" s="20">
        <f>2.57+1.39+0.876+5.21</f>
        <v>10.045999999999999</v>
      </c>
      <c r="E49" s="20">
        <f>0.98+3.58+2.57+1.39+0.876+5.21</f>
        <v>14.606000000000002</v>
      </c>
      <c r="F49" s="23">
        <f>0.405+0.272+2.07+0.98+0.36+3.58+2.57+1.39+0.876+5.21</f>
        <v>17.713000000000001</v>
      </c>
      <c r="G49" s="23">
        <f>0.405+0.272+2.07+0.98+0.36+3.58+2.57+1.39+0.876+5.21</f>
        <v>17.713000000000001</v>
      </c>
      <c r="H49" s="20">
        <f>3.89+2.97+3.22+0.464+0.272+2.07+0.98+0.36+3.58+2.57+1.39+0.876+5.21</f>
        <v>27.852000000000004</v>
      </c>
      <c r="I49" s="20">
        <f>2.97+3.22+0.464+0.272+2.07+0.98+0.36+3.58+2.57+1.39+0.876+5.21</f>
        <v>23.962000000000003</v>
      </c>
      <c r="J49" s="20">
        <f>3.22+0.464+0.272+2.07+0.98+0.36+3.58+2.57+1.39+0.876+5.21</f>
        <v>20.992000000000001</v>
      </c>
      <c r="K49" s="20">
        <f>0.879+2.07+0.98+0.36+3.58+2.57+1.39+0.876+5.21</f>
        <v>17.914999999999999</v>
      </c>
      <c r="L49" s="20">
        <f>5.21+0.876+1.39+0.455+0.684+0.203+3.06+4.31+2.74+0.293</f>
        <v>19.220999999999997</v>
      </c>
      <c r="M49" s="20">
        <f>5.21+0.876+1.39+0.455+0.684+0.203+3.06+4.31+0.387+0.388</f>
        <v>16.963000000000001</v>
      </c>
      <c r="N49" s="20">
        <f>5.21+0.876+1.39+0.455+0.684+0.203+3.06</f>
        <v>11.878</v>
      </c>
      <c r="O49" s="20">
        <f>5.21+0.876+1.39+0.455+0.684+0.203+3.06</f>
        <v>11.878</v>
      </c>
      <c r="P49" s="20">
        <f>5.21+0.876+1.39+0.455+0.684+0.203+3.06</f>
        <v>11.878</v>
      </c>
      <c r="Q49" s="20">
        <f>3.1+3.06+0.203+0.684+0.455+1.39+0.876+5.21</f>
        <v>14.978000000000002</v>
      </c>
      <c r="R49" s="20">
        <f>9.89+2.05+0.876+5.21</f>
        <v>18.026</v>
      </c>
      <c r="S49" s="20">
        <f>0.455+1.39+0.876+5.21</f>
        <v>7.931</v>
      </c>
      <c r="T49" s="20">
        <f>0.684+0.455+1.39+0.876+5.21</f>
        <v>8.6150000000000002</v>
      </c>
      <c r="U49" s="20">
        <v>5.21</v>
      </c>
      <c r="V49" s="22">
        <v>0</v>
      </c>
      <c r="W49" s="20">
        <f>1.46+3.68</f>
        <v>5.1400000000000006</v>
      </c>
      <c r="X49" s="20">
        <f>1.23+1.46</f>
        <v>2.69</v>
      </c>
      <c r="Y49" s="20">
        <f>4.14+1.23+1.46</f>
        <v>6.8299999999999992</v>
      </c>
      <c r="Z49" s="20">
        <f>4.14+1.23+1.46</f>
        <v>6.8299999999999992</v>
      </c>
    </row>
    <row r="50" spans="1:26" x14ac:dyDescent="0.25">
      <c r="A50" s="21" t="s">
        <v>28</v>
      </c>
      <c r="B50" s="20">
        <f>2.82+2.13+1.96+4.14+1.23+3.68</f>
        <v>15.959999999999999</v>
      </c>
      <c r="C50" s="20">
        <f>1.34+2.82+2.13+1.96+4.14+1.23+3.68</f>
        <v>17.3</v>
      </c>
      <c r="D50" s="20">
        <f>1.34+2.82+2.13+1.96+4.14+1.23+3.68</f>
        <v>17.3</v>
      </c>
      <c r="E50" s="20">
        <f>3.68+1.23+4.14+1.96+2.13+2.82+1.34+3.58+0.98</f>
        <v>21.860000000000003</v>
      </c>
      <c r="F50" s="20">
        <f>0.405+0.272+2.07+0.98+0.36+3.58+1.34+2.82+2.13+1.96+4.14+1.23+3.68</f>
        <v>24.967000000000002</v>
      </c>
      <c r="G50" s="20">
        <f>0.405+0.272+2.07+0.98+0.36+3.58+1.34+2.82+2.13+1.96+4.14+1.23+3.68</f>
        <v>24.967000000000002</v>
      </c>
      <c r="H50" s="20">
        <f>3.89+2.97+3.22+0.464+0.272+2.07+0.98+0.36+3.58+1.34+2.82+2.13+1.96+4.14+1.23+3.68</f>
        <v>35.106000000000002</v>
      </c>
      <c r="I50" s="20">
        <f>3.68+1.23+4.14+1.96+2.13+2.82+1.34+3.58+0.98+0.36+2.07+0.272+0.464+3.22+2.97</f>
        <v>31.215999999999998</v>
      </c>
      <c r="J50" s="20">
        <f>3.68+1.23+4.14+1.96+2.13+2.82+1.34+3.58+0.98+0.36+2.07+0.272+0.464+3.22</f>
        <v>28.245999999999999</v>
      </c>
      <c r="K50" s="20">
        <f>3.68+1.23+4.14+1.96+2.13+2.82+1.34+3.58+0.98+0.36+2.07+0.879</f>
        <v>25.169000000000004</v>
      </c>
      <c r="L50" s="20">
        <f>3.68+1.23+4.14+1.96+2.13+2.82+1.34+3.58+0.98+0.36+2.07+0.272+0.464+3.8</f>
        <v>28.826000000000001</v>
      </c>
      <c r="M50" s="20">
        <f>1.38+3.06+0.203+0.684+0.455+1.39+0.876+5.21+1.46+3.68</f>
        <v>18.398</v>
      </c>
      <c r="N50" s="20">
        <f>3.68+1.46+5.21+0.876+1.39+0.455+0.684+0.203+3.06</f>
        <v>17.018000000000001</v>
      </c>
      <c r="O50" s="20">
        <f>3.68+1.46+5.21+0.876+1.39+0.455+0.684+0.203+3.06</f>
        <v>17.018000000000001</v>
      </c>
      <c r="P50" s="20">
        <f>3.68+1.46+5.21+0.876+1.39+0.455+0.684+0.203+3.06</f>
        <v>17.018000000000001</v>
      </c>
      <c r="Q50" s="20">
        <f>3.68+1.46+5.21+0.876+1.39+0.455+0.684+0.203+3.06+3.1</f>
        <v>20.118000000000002</v>
      </c>
      <c r="R50" s="20">
        <f>3.68+1.46+5.21+0.876+2.05+9.89</f>
        <v>23.166</v>
      </c>
      <c r="S50" s="20">
        <f>3.68+1.46+5.21+0.876+1.39+0.455</f>
        <v>13.071000000000002</v>
      </c>
      <c r="T50" s="20">
        <f>0.684+0.455+1.39+0.876+5.21+1.46+3.68</f>
        <v>13.754999999999999</v>
      </c>
      <c r="U50" s="20">
        <f>3.68+1.46+5.21</f>
        <v>10.350000000000001</v>
      </c>
      <c r="V50" s="20">
        <f>1.46+3.68</f>
        <v>5.1400000000000006</v>
      </c>
      <c r="W50" s="22">
        <v>0</v>
      </c>
      <c r="X50" s="24">
        <f>1.23+3.68</f>
        <v>4.91</v>
      </c>
      <c r="Y50" s="20">
        <f>4.14+1.23+3.68</f>
        <v>9.0499999999999989</v>
      </c>
      <c r="Z50" s="20">
        <f>4.14+1.23+3.68</f>
        <v>9.0499999999999989</v>
      </c>
    </row>
    <row r="51" spans="1:26" x14ac:dyDescent="0.25">
      <c r="A51" s="21" t="s">
        <v>1</v>
      </c>
      <c r="B51" s="20">
        <f>2.82+2.13+1.96+4.14</f>
        <v>11.049999999999999</v>
      </c>
      <c r="C51" s="20">
        <f>1.34+2.82+2.13+1.96+4.14</f>
        <v>12.39</v>
      </c>
      <c r="D51" s="20">
        <f>1.34+2.82+2.13+1.96+4.14</f>
        <v>12.39</v>
      </c>
      <c r="E51" s="20">
        <f>4.14+1.96+2.13+2.82+1.34+3.58+0.98</f>
        <v>16.95</v>
      </c>
      <c r="F51" s="20">
        <f>0.405+0.272+2.07+0.98+0.36+3.58+1.34+2.82+2.13+1.96+4.14</f>
        <v>20.057000000000002</v>
      </c>
      <c r="G51" s="20">
        <f>0.405+0.272+2.07+0.98+0.36+3.58+1.34+2.82+2.13+1.96+4.14</f>
        <v>20.057000000000002</v>
      </c>
      <c r="H51" s="20">
        <f>3.89+2.97+3.22+0.464+0.272+2.07+0.98+0.36+3.58+1.34+2.82+2.13+1.96+4.14</f>
        <v>30.196000000000002</v>
      </c>
      <c r="I51" s="20">
        <f>2.97+3.22+0.464+0.272+2.07+0.98+0.36+3.58+1.34+2.82+2.13+1.96+4.14</f>
        <v>26.306000000000001</v>
      </c>
      <c r="J51" s="20">
        <f>3.22+0.464+0.272+2.07+0.98+0.36+3.58+1.34+2.82+2.13+1.96+4.14</f>
        <v>23.336000000000002</v>
      </c>
      <c r="K51" s="20">
        <f>4.14+1.96+2.13+2.82+1.34+3.58+0.98+0.36+2.07+0.879</f>
        <v>20.259</v>
      </c>
      <c r="L51" s="20">
        <f>4.14+1.96+2.13+2.82+1.34+3.58+0.98+0.36+2.07+0.272+0.464+3.8</f>
        <v>23.915999999999997</v>
      </c>
      <c r="M51" s="20">
        <f>1.38+3.06+0.203+0.684+0.455+1.39+0.876+5.21+1.46+1.23</f>
        <v>15.948</v>
      </c>
      <c r="N51" s="20">
        <f>1.23+1.46+5.21+0.876+1.39+0.455+0.684+0.203+3.06</f>
        <v>14.568</v>
      </c>
      <c r="O51" s="20">
        <f>1.23+1.46+5.21+0.876+1.39+0.455+0.684+0.203+3.06</f>
        <v>14.568</v>
      </c>
      <c r="P51" s="20">
        <f>1.23+1.46+5.21+0.876+1.39+0.455+0.684+0.203+3.06</f>
        <v>14.568</v>
      </c>
      <c r="Q51" s="20">
        <f>1.23+1.46+5.21+0.876+1.39+0.455+0.684+0.203+3.06+3.1</f>
        <v>17.667999999999999</v>
      </c>
      <c r="R51" s="20">
        <f>1.23+1.46+5.21+0.876+2.05+9.89</f>
        <v>20.716000000000001</v>
      </c>
      <c r="S51" s="20">
        <f>1.23+1.46+5.21+0.876+1.39+0.455</f>
        <v>10.621</v>
      </c>
      <c r="T51" s="20">
        <f>0.684+0.455+1.39+0.876+5.21+1.46+1.23</f>
        <v>11.305</v>
      </c>
      <c r="U51" s="20">
        <f>1.23+1.46+5.21</f>
        <v>7.9</v>
      </c>
      <c r="V51" s="20">
        <f>1.23+1.46</f>
        <v>2.69</v>
      </c>
      <c r="W51" s="24">
        <f>1.23+3.68</f>
        <v>4.91</v>
      </c>
      <c r="X51" s="22">
        <v>0</v>
      </c>
      <c r="Y51" s="24">
        <v>4.1399999999999997</v>
      </c>
      <c r="Z51" s="24">
        <v>4.1399999999999997</v>
      </c>
    </row>
    <row r="52" spans="1:26" x14ac:dyDescent="0.25">
      <c r="A52" s="21" t="s">
        <v>27</v>
      </c>
      <c r="B52" s="24">
        <f>2.82+2.13+1.96</f>
        <v>6.9099999999999993</v>
      </c>
      <c r="C52" s="24">
        <f>1.34+2.82+2.13+1.96</f>
        <v>8.25</v>
      </c>
      <c r="D52" s="24">
        <f>1.34+2.82+2.13+1.96</f>
        <v>8.25</v>
      </c>
      <c r="E52" s="20">
        <f>1.96+2.13+2.82+1.34+3.58+0.98</f>
        <v>12.81</v>
      </c>
      <c r="F52" s="20">
        <f>0.405+0.272+2.07+0.98+0.36+3.58+1.34+2.82+2.13+1.96</f>
        <v>15.917000000000002</v>
      </c>
      <c r="G52" s="20">
        <f>0.405+0.272+2.07+0.98+0.36+3.58+1.34+2.82+2.13+1.96</f>
        <v>15.917000000000002</v>
      </c>
      <c r="H52" s="20">
        <f>3.89+2.97+3.22+0.464+0.272+2.07+0.98+0.36+3.58+1.34+2.82+2.13+1.96</f>
        <v>26.056000000000001</v>
      </c>
      <c r="I52" s="20">
        <f>2.97+3.22+0.464+0.272+2.07+0.98+0.36+3.58+1.34+2.82+2.13+1.96</f>
        <v>22.166</v>
      </c>
      <c r="J52" s="20">
        <f>3.22+0.464+0.272+2.07+0.98+0.36+3.58+1.34+2.82+2.13+1.96</f>
        <v>19.196000000000002</v>
      </c>
      <c r="K52" s="20">
        <f>1.96+2.13+2.82+1.34+3.58+0.98+0.36+2.07+0.879</f>
        <v>16.119</v>
      </c>
      <c r="L52" s="20">
        <f>1.96+2.13+2.82+1.34+3.58+0.98+0.36+2.07+0.272+0.464+3.8</f>
        <v>19.776</v>
      </c>
      <c r="M52" s="20">
        <f>1.96+2.13+2.82+1.34+2.57+0.455+0.684+0.203+3.06+1.38</f>
        <v>16.602</v>
      </c>
      <c r="N52" s="20">
        <f t="shared" ref="N52:P53" si="26">1.96+2.13+2.82+1.34+2.57+0.455+0.684+0.203+3.06</f>
        <v>15.222</v>
      </c>
      <c r="O52" s="20">
        <f t="shared" si="26"/>
        <v>15.222</v>
      </c>
      <c r="P52" s="20">
        <f t="shared" si="26"/>
        <v>15.222</v>
      </c>
      <c r="Q52" s="20">
        <f>1.96+2.13+2.82+1.34+2.57+0.455+0.684+0.203+3.06+3.1</f>
        <v>18.321999999999999</v>
      </c>
      <c r="R52" s="20">
        <f>1.96+2.13+2.82+1.34+2.57+0.455+0.684+0.203+3.06+3.1+3.72</f>
        <v>22.041999999999998</v>
      </c>
      <c r="S52" s="20">
        <f>1.96+2.13+2.82+1.34+2.57+0.455</f>
        <v>11.275</v>
      </c>
      <c r="T52" s="20">
        <f>1.96+2.13+2.82+1.34+2.57+0.455+0.684</f>
        <v>11.959</v>
      </c>
      <c r="U52" s="20">
        <f>4.14+1.23+1.46+5.21</f>
        <v>12.04</v>
      </c>
      <c r="V52" s="20">
        <f>4.14+1.23+1.46</f>
        <v>6.8299999999999992</v>
      </c>
      <c r="W52" s="20">
        <f>4.14+1.23+3.68</f>
        <v>9.0499999999999989</v>
      </c>
      <c r="X52" s="24">
        <v>4.1399999999999997</v>
      </c>
      <c r="Y52" s="22">
        <v>0</v>
      </c>
      <c r="Z52" s="22">
        <v>0</v>
      </c>
    </row>
    <row r="53" spans="1:26" x14ac:dyDescent="0.25">
      <c r="A53" s="21" t="s">
        <v>4</v>
      </c>
      <c r="B53" s="24">
        <f>2.82+2.13+1.96</f>
        <v>6.9099999999999993</v>
      </c>
      <c r="C53" s="24">
        <f>1.34+2.82+2.13+1.96</f>
        <v>8.25</v>
      </c>
      <c r="D53" s="24">
        <f>1.34+2.82+2.13+1.96</f>
        <v>8.25</v>
      </c>
      <c r="E53" s="20">
        <f>1.96+2.13+2.82+1.34+3.58+0.98</f>
        <v>12.81</v>
      </c>
      <c r="F53" s="20">
        <f>0.405+0.272+2.07+0.98+0.36+3.58+1.34+2.82+2.13+1.96</f>
        <v>15.917000000000002</v>
      </c>
      <c r="G53" s="20">
        <f>0.405+0.272+2.07+0.98+0.36+3.58+1.34+2.82+2.13+1.96</f>
        <v>15.917000000000002</v>
      </c>
      <c r="H53" s="20">
        <f>3.89+2.97+3.22+0.464+0.272+2.07+0.98+0.36+3.58+1.34+2.82+2.13+1.96</f>
        <v>26.056000000000001</v>
      </c>
      <c r="I53" s="20">
        <f>2.97+3.22+0.464+0.272+2.07+0.98+0.36+3.58+1.34+2.82+2.13+1.96</f>
        <v>22.166</v>
      </c>
      <c r="J53" s="20">
        <f>3.22+0.464+0.272+2.07+0.98+0.36+3.58+1.34+2.82+2.13+1.96</f>
        <v>19.196000000000002</v>
      </c>
      <c r="K53" s="20">
        <f>1.96+2.13+2.82+1.34+3.58+0.98+0.36+2.07+0.879</f>
        <v>16.119</v>
      </c>
      <c r="L53" s="20">
        <f>1.96+2.13+2.82+1.34+3.58+0.98+0.36+2.07+0.272+0.464+3.8</f>
        <v>19.776</v>
      </c>
      <c r="M53" s="20">
        <f>1.96+2.13+2.82+1.34+2.57+0.455+0.684+0.203+3.06+1.38</f>
        <v>16.602</v>
      </c>
      <c r="N53" s="20">
        <f t="shared" si="26"/>
        <v>15.222</v>
      </c>
      <c r="O53" s="20">
        <f t="shared" si="26"/>
        <v>15.222</v>
      </c>
      <c r="P53" s="20">
        <f t="shared" si="26"/>
        <v>15.222</v>
      </c>
      <c r="Q53" s="20">
        <f>1.96+2.13+2.82+1.34+2.57+0.455+0.684+0.203+3.06+3.1</f>
        <v>18.321999999999999</v>
      </c>
      <c r="R53" s="20">
        <f>1.96+2.13+2.82+1.34+2.57+0.455+0.684+0.203+3.06+3.1+3.72</f>
        <v>22.041999999999998</v>
      </c>
      <c r="S53" s="20">
        <f>1.96+2.13+2.82+1.34+2.57+0.455</f>
        <v>11.275</v>
      </c>
      <c r="T53" s="20">
        <f>1.96+2.13+2.82+1.34+2.57+0.455+0.684</f>
        <v>11.959</v>
      </c>
      <c r="U53" s="20">
        <f>4.14+1.23+1.46+5.21</f>
        <v>12.04</v>
      </c>
      <c r="V53" s="20">
        <f>4.14+1.23+1.46</f>
        <v>6.8299999999999992</v>
      </c>
      <c r="W53" s="20">
        <f>4.14+1.23+3.68</f>
        <v>9.0499999999999989</v>
      </c>
      <c r="X53" s="24">
        <v>4.1399999999999997</v>
      </c>
      <c r="Y53" s="22">
        <v>0</v>
      </c>
      <c r="Z53" s="22">
        <v>0</v>
      </c>
    </row>
    <row r="54" spans="1:26" x14ac:dyDescent="0.25">
      <c r="E54" s="1"/>
      <c r="F54" s="1"/>
      <c r="G54" s="1"/>
      <c r="H54" s="1"/>
      <c r="I54" s="1"/>
      <c r="J54" s="1"/>
      <c r="K54" s="1"/>
      <c r="L54" s="1"/>
      <c r="M54" s="1"/>
      <c r="N54" s="1"/>
      <c r="O54" s="1"/>
      <c r="P54" s="1"/>
      <c r="Q54" s="1"/>
      <c r="R54" s="1"/>
      <c r="S54" s="1"/>
      <c r="T54" s="1"/>
      <c r="U54" s="1"/>
      <c r="V54" s="1"/>
      <c r="W54" s="1"/>
    </row>
    <row r="56" spans="1:26" x14ac:dyDescent="0.25">
      <c r="A56" s="11" t="s">
        <v>0</v>
      </c>
      <c r="B56"/>
      <c r="C56" t="s">
        <v>10</v>
      </c>
    </row>
    <row r="57" spans="1:26" x14ac:dyDescent="0.25">
      <c r="A57" s="12" t="s">
        <v>22</v>
      </c>
      <c r="B57"/>
      <c r="C57" t="s">
        <v>11</v>
      </c>
    </row>
    <row r="58" spans="1:26" x14ac:dyDescent="0.25">
      <c r="A58" s="11" t="s">
        <v>23</v>
      </c>
      <c r="B58"/>
    </row>
    <row r="59" spans="1:26" x14ac:dyDescent="0.25">
      <c r="A59" s="11" t="s">
        <v>9</v>
      </c>
      <c r="B59"/>
    </row>
    <row r="60" spans="1:26" x14ac:dyDescent="0.25">
      <c r="A60" s="11" t="s">
        <v>1</v>
      </c>
      <c r="B60"/>
    </row>
    <row r="61" spans="1:26" x14ac:dyDescent="0.25">
      <c r="A61" s="11" t="s">
        <v>2</v>
      </c>
      <c r="B61"/>
    </row>
    <row r="62" spans="1:26" x14ac:dyDescent="0.25">
      <c r="A62" s="11" t="s">
        <v>3</v>
      </c>
      <c r="B62"/>
    </row>
    <row r="63" spans="1:26" x14ac:dyDescent="0.25">
      <c r="A63" s="13" t="s">
        <v>31</v>
      </c>
      <c r="B63"/>
    </row>
    <row r="64" spans="1:26" x14ac:dyDescent="0.25">
      <c r="A64" s="11" t="s">
        <v>25</v>
      </c>
      <c r="B64"/>
    </row>
    <row r="65" spans="1:2" x14ac:dyDescent="0.25">
      <c r="A65" s="11" t="s">
        <v>4</v>
      </c>
      <c r="B65"/>
    </row>
    <row r="66" spans="1:2" x14ac:dyDescent="0.25">
      <c r="A66" s="11" t="s">
        <v>5</v>
      </c>
      <c r="B66"/>
    </row>
    <row r="67" spans="1:2" x14ac:dyDescent="0.25">
      <c r="A67" s="11" t="s">
        <v>26</v>
      </c>
      <c r="B67"/>
    </row>
    <row r="68" spans="1:2" x14ac:dyDescent="0.25">
      <c r="A68" s="11" t="s">
        <v>17</v>
      </c>
      <c r="B68"/>
    </row>
    <row r="69" spans="1:2" x14ac:dyDescent="0.25">
      <c r="A69" s="11" t="s">
        <v>6</v>
      </c>
      <c r="B69"/>
    </row>
    <row r="70" spans="1:2" x14ac:dyDescent="0.25">
      <c r="A70" s="12" t="s">
        <v>30</v>
      </c>
      <c r="B70"/>
    </row>
    <row r="71" spans="1:2" x14ac:dyDescent="0.25">
      <c r="A71" s="11" t="s">
        <v>20</v>
      </c>
      <c r="B71"/>
    </row>
    <row r="72" spans="1:2" x14ac:dyDescent="0.25">
      <c r="A72" s="11" t="s">
        <v>19</v>
      </c>
      <c r="B72"/>
    </row>
    <row r="73" spans="1:2" x14ac:dyDescent="0.25">
      <c r="A73" s="11" t="s">
        <v>8</v>
      </c>
      <c r="B73"/>
    </row>
    <row r="74" spans="1:2" x14ac:dyDescent="0.25">
      <c r="A74" s="11" t="s">
        <v>27</v>
      </c>
      <c r="B74"/>
    </row>
    <row r="75" spans="1:2" x14ac:dyDescent="0.25">
      <c r="A75" s="11" t="s">
        <v>24</v>
      </c>
      <c r="B75"/>
    </row>
    <row r="76" spans="1:2" x14ac:dyDescent="0.25">
      <c r="A76" s="11" t="s">
        <v>28</v>
      </c>
      <c r="B76"/>
    </row>
    <row r="77" spans="1:2" x14ac:dyDescent="0.25">
      <c r="A77" s="11" t="s">
        <v>29</v>
      </c>
      <c r="B77"/>
    </row>
    <row r="78" spans="1:2" x14ac:dyDescent="0.25">
      <c r="A78" s="11" t="s">
        <v>21</v>
      </c>
      <c r="B78"/>
    </row>
    <row r="79" spans="1:2" x14ac:dyDescent="0.25">
      <c r="A79" s="12" t="s">
        <v>18</v>
      </c>
      <c r="B79"/>
    </row>
    <row r="80" spans="1:2" x14ac:dyDescent="0.25">
      <c r="A80" s="11" t="s">
        <v>7</v>
      </c>
      <c r="B80"/>
    </row>
    <row r="81" spans="1:2" x14ac:dyDescent="0.25">
      <c r="A81" s="1"/>
      <c r="B81"/>
    </row>
    <row r="82" spans="1:2" x14ac:dyDescent="0.25">
      <c r="A82" s="1"/>
      <c r="B82"/>
    </row>
    <row r="83" spans="1:2" x14ac:dyDescent="0.25">
      <c r="A83" s="1"/>
      <c r="B83"/>
    </row>
    <row r="84" spans="1:2" x14ac:dyDescent="0.25">
      <c r="A84" s="1"/>
      <c r="B84"/>
    </row>
  </sheetData>
  <sheetProtection algorithmName="SHA-512" hashValue="xvvrk401XbNhfJdkTvLi0yTrgg16fodRk53ttHAjcq803meUjWsXWdyTNk6h5eyAw/g7XoLn0Jwdo9ttRZJ6kA==" saltValue="dzYhh2s+SuUMV+z+Q2NfBA==" spinCount="100000" sheet="1" objects="1" scenarios="1"/>
  <sortState ref="A56:A81">
    <sortCondition ref="A56"/>
  </sortState>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6F87-4806-4B16-8741-F74D4C1F637E}">
  <sheetPr>
    <pageSetUpPr fitToPage="1"/>
  </sheetPr>
  <dimension ref="A1:Z27"/>
  <sheetViews>
    <sheetView topLeftCell="B1" zoomScale="57" zoomScaleNormal="57" workbookViewId="0">
      <selection activeCell="K31" sqref="K31"/>
    </sheetView>
  </sheetViews>
  <sheetFormatPr baseColWidth="10" defaultRowHeight="15" x14ac:dyDescent="0.25"/>
  <cols>
    <col min="1" max="1" width="34.85546875" customWidth="1"/>
    <col min="2" max="26" width="12.85546875" customWidth="1"/>
  </cols>
  <sheetData>
    <row r="1" spans="1:26" ht="35.25" customHeight="1" x14ac:dyDescent="0.25">
      <c r="A1" s="32" t="s">
        <v>41</v>
      </c>
      <c r="B1" s="32"/>
      <c r="C1" s="32"/>
      <c r="D1" s="32"/>
      <c r="E1" s="32"/>
      <c r="F1" s="32"/>
      <c r="G1" s="32"/>
      <c r="H1" s="32"/>
      <c r="I1" s="32"/>
      <c r="J1" s="32"/>
      <c r="K1" s="32"/>
      <c r="L1" s="32"/>
      <c r="M1" s="32"/>
      <c r="N1" s="32"/>
      <c r="O1" s="32"/>
      <c r="P1" s="32"/>
      <c r="Q1" s="32"/>
      <c r="R1" s="32"/>
      <c r="S1" s="32"/>
      <c r="T1" s="32"/>
      <c r="U1" s="32"/>
      <c r="V1" s="32"/>
      <c r="W1" s="32"/>
      <c r="X1" s="32"/>
      <c r="Y1" s="32"/>
      <c r="Z1" s="32"/>
    </row>
    <row r="2" spans="1:26" ht="60" x14ac:dyDescent="0.25">
      <c r="A2" s="14" t="s">
        <v>15</v>
      </c>
      <c r="B2" s="15" t="s">
        <v>31</v>
      </c>
      <c r="C2" s="15" t="s">
        <v>6</v>
      </c>
      <c r="D2" s="15" t="s">
        <v>29</v>
      </c>
      <c r="E2" s="15" t="s">
        <v>18</v>
      </c>
      <c r="F2" s="15" t="s">
        <v>9</v>
      </c>
      <c r="G2" s="15" t="s">
        <v>20</v>
      </c>
      <c r="H2" s="15" t="s">
        <v>21</v>
      </c>
      <c r="I2" s="15" t="s">
        <v>7</v>
      </c>
      <c r="J2" s="15" t="s">
        <v>23</v>
      </c>
      <c r="K2" s="15" t="s">
        <v>22</v>
      </c>
      <c r="L2" s="15" t="s">
        <v>19</v>
      </c>
      <c r="M2" s="15" t="s">
        <v>2</v>
      </c>
      <c r="N2" s="15" t="s">
        <v>24</v>
      </c>
      <c r="O2" s="15" t="s">
        <v>8</v>
      </c>
      <c r="P2" s="15" t="s">
        <v>30</v>
      </c>
      <c r="Q2" s="15" t="s">
        <v>0</v>
      </c>
      <c r="R2" s="15" t="s">
        <v>3</v>
      </c>
      <c r="S2" s="15" t="s">
        <v>25</v>
      </c>
      <c r="T2" s="15" t="s">
        <v>5</v>
      </c>
      <c r="U2" s="15" t="s">
        <v>17</v>
      </c>
      <c r="V2" s="15" t="s">
        <v>26</v>
      </c>
      <c r="W2" s="15" t="s">
        <v>28</v>
      </c>
      <c r="X2" s="15" t="s">
        <v>1</v>
      </c>
      <c r="Y2" s="15" t="s">
        <v>27</v>
      </c>
      <c r="Z2" s="15" t="s">
        <v>4</v>
      </c>
    </row>
    <row r="3" spans="1:26" x14ac:dyDescent="0.25">
      <c r="A3" s="16" t="s">
        <v>31</v>
      </c>
      <c r="B3" s="17">
        <v>0</v>
      </c>
      <c r="C3" s="19">
        <v>1.37</v>
      </c>
      <c r="D3" s="19">
        <v>1.37</v>
      </c>
      <c r="E3" s="19">
        <f>1.37+3.58+0.98</f>
        <v>5.93</v>
      </c>
      <c r="F3" s="24">
        <f>1.34+3.58+0.98+0.36+2.07+0.272+0.405</f>
        <v>9.0069999999999997</v>
      </c>
      <c r="G3" s="24">
        <f>1.34+3.58+0.98+0.36+2.07+0.272+0.405</f>
        <v>9.0069999999999997</v>
      </c>
      <c r="H3" s="20">
        <f>1.34+3.58+0.98+0.36+2.07+0.272+0.464+3.22+2.97+3.89</f>
        <v>19.146000000000001</v>
      </c>
      <c r="I3" s="20">
        <f>1.34+3.58+0.98+0.36+2.07+0.272+0.464+3.22+2.97</f>
        <v>15.256000000000002</v>
      </c>
      <c r="J3" s="20">
        <f>1.34+3.58+0.98+0.36+2.07+0.272+0.464+3.22</f>
        <v>12.286000000000001</v>
      </c>
      <c r="K3" s="20">
        <f>1.34+3.58+0.98+0.36+2.07+0.879</f>
        <v>9.2089999999999996</v>
      </c>
      <c r="L3" s="20">
        <f>1.34+3.58+0.98+0.36+2.07+0.272+0.464+3.8</f>
        <v>12.866</v>
      </c>
      <c r="M3" s="20">
        <f>1.34+3.58+0.98+0.36+2.07+0.272+0.464+3.8+0.293+2.74+0.388+0.387</f>
        <v>16.673999999999999</v>
      </c>
      <c r="N3" s="20">
        <f>1.34+2.57+0.455+0.684+0.203+3.06</f>
        <v>8.3120000000000012</v>
      </c>
      <c r="O3" s="20">
        <f t="shared" ref="O3:P3" si="0">1.34+2.57+0.455+0.684+0.203+3.06</f>
        <v>8.3120000000000012</v>
      </c>
      <c r="P3" s="20">
        <f t="shared" si="0"/>
        <v>8.3120000000000012</v>
      </c>
      <c r="Q3" s="20">
        <f>1.34+2.57+0.455+0.684+0.203+3.06+3.1</f>
        <v>11.412000000000001</v>
      </c>
      <c r="R3" s="24">
        <f>1.34+2.57+1.39+2.05+9.89</f>
        <v>17.240000000000002</v>
      </c>
      <c r="S3" s="20">
        <f>2.57+0.455+1.34</f>
        <v>4.3650000000000002</v>
      </c>
      <c r="T3" s="20">
        <f>1.34+2.57+0.455+0.684</f>
        <v>5.0490000000000004</v>
      </c>
      <c r="U3" s="20">
        <f>1.34+2.57+1.39+0.876</f>
        <v>6.1760000000000002</v>
      </c>
      <c r="V3" s="20">
        <f>2.57+1.39+0.876+5.21+1.34</f>
        <v>11.385999999999999</v>
      </c>
      <c r="W3" s="20">
        <f>2.82+2.13+1.96+4.14+1.23+3.68</f>
        <v>15.959999999999999</v>
      </c>
      <c r="X3" s="20">
        <f>2.82+2.13+1.96+4.14</f>
        <v>11.049999999999999</v>
      </c>
      <c r="Y3" s="24">
        <f>2.82+2.13+1.96</f>
        <v>6.9099999999999993</v>
      </c>
      <c r="Z3" s="24">
        <f>2.82+2.13+1.96</f>
        <v>6.9099999999999993</v>
      </c>
    </row>
    <row r="4" spans="1:26" x14ac:dyDescent="0.25">
      <c r="A4" s="21" t="s">
        <v>6</v>
      </c>
      <c r="B4" s="19">
        <v>1.37</v>
      </c>
      <c r="C4" s="22">
        <v>0</v>
      </c>
      <c r="D4" s="22">
        <v>0</v>
      </c>
      <c r="E4" s="20">
        <f>3.58+0.98</f>
        <v>4.5600000000000005</v>
      </c>
      <c r="F4" s="20">
        <f>3.58+0.98+0.36+2.07+0.272+0.405</f>
        <v>7.6670000000000007</v>
      </c>
      <c r="G4" s="20">
        <f>3.58+0.98+0.36+2.07+0.272+0.405</f>
        <v>7.6670000000000007</v>
      </c>
      <c r="H4" s="20">
        <f>3.58+0.98+0.36+2.07+0.272+0.464+3.22+2.97+3.89</f>
        <v>17.806000000000001</v>
      </c>
      <c r="I4" s="20">
        <f>3.58+0.98+0.36+2.07+0.272+0.464+3.22+2.97</f>
        <v>13.916000000000002</v>
      </c>
      <c r="J4" s="20">
        <f>3.58+0.98+0.36+2.07+0.272+0.464+3.22</f>
        <v>10.946000000000002</v>
      </c>
      <c r="K4" s="20">
        <f>3.58+0.98+0.36+2.07+0.879</f>
        <v>7.8689999999999998</v>
      </c>
      <c r="L4" s="20">
        <f>3.58+0.98+0.36+2.07+0.272+0.464+3.8</f>
        <v>11.526</v>
      </c>
      <c r="M4" s="20">
        <f>3.58+0.98+0.36+2.07+0.272+0.464+3.8+0.293+2.74+0.388+0.387</f>
        <v>15.334</v>
      </c>
      <c r="N4" s="20">
        <f>2.57+0.455+0.684+0.203+3.06</f>
        <v>6.9719999999999995</v>
      </c>
      <c r="O4" s="20">
        <f t="shared" ref="O4:P5" si="1">2.57+0.455+0.684+0.203+3.06</f>
        <v>6.9719999999999995</v>
      </c>
      <c r="P4" s="20">
        <f t="shared" si="1"/>
        <v>6.9719999999999995</v>
      </c>
      <c r="Q4" s="20">
        <f>2.57+0.455+0.684+0.203+3.06+3.1</f>
        <v>10.071999999999999</v>
      </c>
      <c r="R4" s="20">
        <f>2.57+1.39+2.05+9.89</f>
        <v>15.9</v>
      </c>
      <c r="S4" s="20">
        <f>2.57+0.455</f>
        <v>3.0249999999999999</v>
      </c>
      <c r="T4" s="20">
        <f>2.57+0.455+0.684</f>
        <v>3.7090000000000001</v>
      </c>
      <c r="U4" s="20">
        <f>2.57+1.39+0.876</f>
        <v>4.8360000000000003</v>
      </c>
      <c r="V4" s="20">
        <f>2.57+1.39+0.876+5.21</f>
        <v>10.045999999999999</v>
      </c>
      <c r="W4" s="20">
        <f>1.34+2.82+2.13+1.96+4.14+1.23+3.68</f>
        <v>17.3</v>
      </c>
      <c r="X4" s="20">
        <f>1.34+2.82+2.13+1.96+4.14</f>
        <v>12.39</v>
      </c>
      <c r="Y4" s="24">
        <f>1.34+2.82+2.13+1.96</f>
        <v>8.25</v>
      </c>
      <c r="Z4" s="24">
        <f>1.34+2.82+2.13+1.96</f>
        <v>8.25</v>
      </c>
    </row>
    <row r="5" spans="1:26" x14ac:dyDescent="0.25">
      <c r="A5" s="21" t="s">
        <v>29</v>
      </c>
      <c r="B5" s="19">
        <v>1.37</v>
      </c>
      <c r="C5" s="22">
        <v>0</v>
      </c>
      <c r="D5" s="22">
        <v>0</v>
      </c>
      <c r="E5" s="20">
        <f>3.58+0.98</f>
        <v>4.5600000000000005</v>
      </c>
      <c r="F5" s="20">
        <f>3.58+0.98+0.36+2.07+0.272+0.405</f>
        <v>7.6670000000000007</v>
      </c>
      <c r="G5" s="20">
        <f>3.58+0.98+0.36+2.07+0.272+0.405</f>
        <v>7.6670000000000007</v>
      </c>
      <c r="H5" s="20">
        <f>3.58+0.98+0.36+2.07+0.272+0.464+3.22+2.97+3.89</f>
        <v>17.806000000000001</v>
      </c>
      <c r="I5" s="20">
        <f>3.58+0.98+0.36+2.07+0.272+0.464+3.22+2.97</f>
        <v>13.916000000000002</v>
      </c>
      <c r="J5" s="20">
        <f>3.58+0.98+0.36+2.07+0.272+0.464+3.22</f>
        <v>10.946000000000002</v>
      </c>
      <c r="K5" s="20">
        <f>3.58+0.98+0.36+2.07+0.879</f>
        <v>7.8689999999999998</v>
      </c>
      <c r="L5" s="20">
        <f>3.58+0.98+0.36+2.07+0.272+0.464+3.8</f>
        <v>11.526</v>
      </c>
      <c r="M5" s="20">
        <f>3.58+0.98+0.36+2.07+0.272+0.464+3.8+0.293+2.74+0.388+0.387</f>
        <v>15.334</v>
      </c>
      <c r="N5" s="20">
        <f>2.57+0.455+0.684+0.203+3.06</f>
        <v>6.9719999999999995</v>
      </c>
      <c r="O5" s="20">
        <f t="shared" si="1"/>
        <v>6.9719999999999995</v>
      </c>
      <c r="P5" s="20">
        <f t="shared" si="1"/>
        <v>6.9719999999999995</v>
      </c>
      <c r="Q5" s="20">
        <f>2.57+0.455+0.684+0.203+3.06+3.1</f>
        <v>10.071999999999999</v>
      </c>
      <c r="R5" s="20">
        <f>2.57+1.39+2.05+9.89</f>
        <v>15.9</v>
      </c>
      <c r="S5" s="20">
        <f>2.57+0.455</f>
        <v>3.0249999999999999</v>
      </c>
      <c r="T5" s="20">
        <f>2.57+0.455+0.684</f>
        <v>3.7090000000000001</v>
      </c>
      <c r="U5" s="20">
        <f>2.57+1.39+0.876</f>
        <v>4.8360000000000003</v>
      </c>
      <c r="V5" s="20">
        <f>2.57+1.39+0.876+5.21</f>
        <v>10.045999999999999</v>
      </c>
      <c r="W5" s="20">
        <f>1.34+2.82+2.13+1.96+4.14+1.23+3.68</f>
        <v>17.3</v>
      </c>
      <c r="X5" s="20">
        <f>1.34+2.82+2.13+1.96+4.14</f>
        <v>12.39</v>
      </c>
      <c r="Y5" s="24">
        <f>1.34+2.82+2.13+1.96</f>
        <v>8.25</v>
      </c>
      <c r="Z5" s="24">
        <f>1.34+2.82+2.13+1.96</f>
        <v>8.25</v>
      </c>
    </row>
    <row r="6" spans="1:26" x14ac:dyDescent="0.25">
      <c r="A6" s="21" t="s">
        <v>18</v>
      </c>
      <c r="B6" s="19">
        <f>1.37+3.58+0.98</f>
        <v>5.93</v>
      </c>
      <c r="C6" s="20">
        <f>3.58+0.98</f>
        <v>4.5600000000000005</v>
      </c>
      <c r="D6" s="20">
        <f>3.58+0.98</f>
        <v>4.5600000000000005</v>
      </c>
      <c r="E6" s="22">
        <v>0</v>
      </c>
      <c r="F6" s="20">
        <f>0.405+0.272+2.07+0.36</f>
        <v>3.1069999999999998</v>
      </c>
      <c r="G6" s="20">
        <f>0.405+0.272+2.07+0.36</f>
        <v>3.1069999999999998</v>
      </c>
      <c r="H6" s="20">
        <f>3.89+2.97+3.22+0.464+0.272+2.07+0.36</f>
        <v>13.246</v>
      </c>
      <c r="I6" s="20">
        <f>2.97+3.22+0.464+0.272+2.07+0.36</f>
        <v>9.3559999999999999</v>
      </c>
      <c r="J6" s="20">
        <f>0.36+2.07+0.272+0.464+3.22</f>
        <v>6.3860000000000001</v>
      </c>
      <c r="K6" s="20">
        <f>0.36+2.07+0.879</f>
        <v>3.3089999999999997</v>
      </c>
      <c r="L6" s="20">
        <f>3.8+0.464+0.272+2.07+0.36</f>
        <v>6.9660000000000002</v>
      </c>
      <c r="M6" s="20">
        <f>3.8+0.464+0.272+2.07+0.36+0.293+2.74+0.388+0.387</f>
        <v>10.774000000000001</v>
      </c>
      <c r="N6" s="20">
        <f>4.31+2.74+0.293+3.8+0.464+0.272+2.07+0.36</f>
        <v>14.309000000000001</v>
      </c>
      <c r="O6" s="20">
        <f t="shared" ref="O6:P6" si="2">4.31+2.74+0.293+3.8+0.464+0.272+2.07+0.36</f>
        <v>14.309000000000001</v>
      </c>
      <c r="P6" s="20">
        <f t="shared" si="2"/>
        <v>14.309000000000001</v>
      </c>
      <c r="Q6" s="20">
        <f>3.1+4.31+2.74+0.293+3.8+0.464+0.272+2.07+0.36</f>
        <v>17.408999999999999</v>
      </c>
      <c r="R6" s="20">
        <f>0.98+3.58+2.57+1.39+2.05+9.89</f>
        <v>20.46</v>
      </c>
      <c r="S6" s="20">
        <f>0.455+2.57+3.58+0.98</f>
        <v>7.5850000000000009</v>
      </c>
      <c r="T6" s="20">
        <f>0.684+0.455+2.57+3.58+0.98</f>
        <v>8.2690000000000001</v>
      </c>
      <c r="U6" s="20">
        <f>0.876+1.39+2.57+3.58+0.98</f>
        <v>9.3960000000000008</v>
      </c>
      <c r="V6" s="20">
        <f>0.98+3.58+2.57+1.39+0.876+5.21</f>
        <v>14.606000000000002</v>
      </c>
      <c r="W6" s="20">
        <f>3.68+1.23+4.14+1.96+2.13+2.82+1.34+3.58+0.98</f>
        <v>21.860000000000003</v>
      </c>
      <c r="X6" s="20">
        <f>4.14+1.96+2.13+2.82+1.34+3.58+0.98</f>
        <v>16.95</v>
      </c>
      <c r="Y6" s="20">
        <f>1.96+2.13+2.82+1.34+3.58+0.98</f>
        <v>12.81</v>
      </c>
      <c r="Z6" s="20">
        <f>1.96+2.13+2.82+1.34+3.58+0.98</f>
        <v>12.81</v>
      </c>
    </row>
    <row r="7" spans="1:26" x14ac:dyDescent="0.25">
      <c r="A7" s="21" t="s">
        <v>9</v>
      </c>
      <c r="B7" s="24">
        <f>1.34+3.58+0.98+0.36+2.07+0.272+0.405</f>
        <v>9.0069999999999997</v>
      </c>
      <c r="C7" s="20">
        <f>3.58+0.98+0.36+2.07+0.272+0.405</f>
        <v>7.6670000000000007</v>
      </c>
      <c r="D7" s="20">
        <f>3.58+0.98+0.36+2.07+0.272+0.405</f>
        <v>7.6670000000000007</v>
      </c>
      <c r="E7" s="20">
        <f>0.405+0.272+2.07+0.36</f>
        <v>3.1069999999999998</v>
      </c>
      <c r="F7" s="22">
        <v>0</v>
      </c>
      <c r="G7" s="22">
        <v>0</v>
      </c>
      <c r="H7" s="20">
        <f>0.405+0.464+3.22+2.97+3.89</f>
        <v>10.949000000000002</v>
      </c>
      <c r="I7" s="20">
        <f>0.405+0.464+3.22+2.97</f>
        <v>7.0590000000000011</v>
      </c>
      <c r="J7" s="24">
        <f>0.405+0.464+3.22</f>
        <v>4.0890000000000004</v>
      </c>
      <c r="K7" s="24">
        <f>0.879+0.272+0.405</f>
        <v>1.556</v>
      </c>
      <c r="L7" s="20">
        <f>0.405+0.464+3.8</f>
        <v>4.6689999999999996</v>
      </c>
      <c r="M7" s="20">
        <f>0.405+0.464+3.8+0.293+2.74+0.388+0.387</f>
        <v>8.4770000000000003</v>
      </c>
      <c r="N7" s="20">
        <f>0.405+0.464+3.8+0.293+2.74+4.31</f>
        <v>12.012</v>
      </c>
      <c r="O7" s="20">
        <f t="shared" ref="O7:P8" si="3">0.405+0.464+3.8+0.293+2.74+4.31</f>
        <v>12.012</v>
      </c>
      <c r="P7" s="20">
        <f t="shared" si="3"/>
        <v>12.012</v>
      </c>
      <c r="Q7" s="20">
        <f>0.405+0.464+3.8+0.293+2.74+4.31+3.1</f>
        <v>15.112</v>
      </c>
      <c r="R7" s="20">
        <f>3.72+3.1+4.31+2.74+0.293+3.8+0.464+0.405</f>
        <v>18.831999999999997</v>
      </c>
      <c r="S7" s="20">
        <f>0.405+0.272+2.07+0.98+0.36+3.58+2.57+0.455</f>
        <v>10.692</v>
      </c>
      <c r="T7" s="20">
        <f>0.405+0.272+2.07+0.98+0.36+3.58+2.57+0.455+0.684</f>
        <v>11.375999999999999</v>
      </c>
      <c r="U7" s="23">
        <f>0.405+0.272+2.07+0.98+0.36+3.58+2.57+1.39+0.876</f>
        <v>12.503</v>
      </c>
      <c r="V7" s="23">
        <f>0.405+0.272+2.07+0.98+0.36+3.58+2.57+1.39+0.876+5.21</f>
        <v>17.713000000000001</v>
      </c>
      <c r="W7" s="20">
        <f>0.405+0.272+2.07+0.98+0.36+3.58+1.34+2.82+2.13+1.96+4.14+1.23+3.68</f>
        <v>24.967000000000002</v>
      </c>
      <c r="X7" s="20">
        <f>0.405+0.272+2.07+0.98+0.36+3.58+1.34+2.82+2.13+1.96+4.14</f>
        <v>20.057000000000002</v>
      </c>
      <c r="Y7" s="20">
        <f>0.405+0.272+2.07+0.98+0.36+3.58+1.34+2.82+2.13+1.96</f>
        <v>15.917000000000002</v>
      </c>
      <c r="Z7" s="20">
        <f>0.405+0.272+2.07+0.98+0.36+3.58+1.34+2.82+2.13+1.96</f>
        <v>15.917000000000002</v>
      </c>
    </row>
    <row r="8" spans="1:26" x14ac:dyDescent="0.25">
      <c r="A8" s="21" t="s">
        <v>20</v>
      </c>
      <c r="B8" s="24">
        <f>1.34+3.58+0.98+0.36+2.07+0.272+0.405</f>
        <v>9.0069999999999997</v>
      </c>
      <c r="C8" s="20">
        <f>3.58+0.98+0.36+2.07+0.272+0.405</f>
        <v>7.6670000000000007</v>
      </c>
      <c r="D8" s="20">
        <f>3.58+0.98+0.36+2.07+0.272+0.405</f>
        <v>7.6670000000000007</v>
      </c>
      <c r="E8" s="20">
        <f>0.405+0.272+2.07+0.36</f>
        <v>3.1069999999999998</v>
      </c>
      <c r="F8" s="22">
        <v>0</v>
      </c>
      <c r="G8" s="22">
        <v>0</v>
      </c>
      <c r="H8" s="20">
        <f>0.405+0.464+3.22+2.97+3.89</f>
        <v>10.949000000000002</v>
      </c>
      <c r="I8" s="20">
        <f>0.405+0.464+3.22+2.97</f>
        <v>7.0590000000000011</v>
      </c>
      <c r="J8" s="24">
        <f>0.405+0.464+3.22</f>
        <v>4.0890000000000004</v>
      </c>
      <c r="K8" s="24">
        <f>0.879+0.272+0.405</f>
        <v>1.556</v>
      </c>
      <c r="L8" s="20">
        <f>0.405+0.464+3.8</f>
        <v>4.6689999999999996</v>
      </c>
      <c r="M8" s="20">
        <f>0.405+0.464+3.8+0.293+2.74+0.388+0.387</f>
        <v>8.4770000000000003</v>
      </c>
      <c r="N8" s="20">
        <f>0.405+0.464+3.8+0.293+2.74+4.31</f>
        <v>12.012</v>
      </c>
      <c r="O8" s="20">
        <f t="shared" si="3"/>
        <v>12.012</v>
      </c>
      <c r="P8" s="20">
        <f t="shared" si="3"/>
        <v>12.012</v>
      </c>
      <c r="Q8" s="20">
        <f>0.405+0.464+3.8+0.293+2.74+4.31+3.1</f>
        <v>15.112</v>
      </c>
      <c r="R8" s="20">
        <f>3.72+3.1+4.31+2.74+0.293+3.8+0.464+0.405</f>
        <v>18.831999999999997</v>
      </c>
      <c r="S8" s="20">
        <f>0.405+0.272+2.07+0.98+0.36+3.58+2.57+0.455</f>
        <v>10.692</v>
      </c>
      <c r="T8" s="20">
        <f>0.405+0.272+2.07+0.98+0.36+3.58+2.57+0.455+0.684</f>
        <v>11.375999999999999</v>
      </c>
      <c r="U8" s="23">
        <f>0.405+0.272+2.07+0.98+0.36+3.58+2.57+1.39+0.876</f>
        <v>12.503</v>
      </c>
      <c r="V8" s="23">
        <f>0.405+0.272+2.07+0.98+0.36+3.58+2.57+1.39+0.876+5.21</f>
        <v>17.713000000000001</v>
      </c>
      <c r="W8" s="20">
        <f>0.405+0.272+2.07+0.98+0.36+3.58+1.34+2.82+2.13+1.96+4.14+1.23+3.68</f>
        <v>24.967000000000002</v>
      </c>
      <c r="X8" s="20">
        <f>0.405+0.272+2.07+0.98+0.36+3.58+1.34+2.82+2.13+1.96+4.14</f>
        <v>20.057000000000002</v>
      </c>
      <c r="Y8" s="20">
        <f>0.405+0.272+2.07+0.98+0.36+3.58+1.34+2.82+2.13+1.96</f>
        <v>15.917000000000002</v>
      </c>
      <c r="Z8" s="20">
        <f>0.405+0.272+2.07+0.98+0.36+3.58+1.34+2.82+2.13+1.96</f>
        <v>15.917000000000002</v>
      </c>
    </row>
    <row r="9" spans="1:26" x14ac:dyDescent="0.25">
      <c r="A9" s="21" t="s">
        <v>21</v>
      </c>
      <c r="B9" s="20">
        <f>1.34+3.58+0.98+0.36+2.07+0.272+0.464+3.22+2.97+3.89</f>
        <v>19.146000000000001</v>
      </c>
      <c r="C9" s="20">
        <f>3.58+0.98+0.36+2.07+0.272+0.464+3.22+2.97+3.89</f>
        <v>17.806000000000001</v>
      </c>
      <c r="D9" s="20">
        <f>3.58+0.98+0.36+2.07+0.272+0.464+3.22+2.97+3.89</f>
        <v>17.806000000000001</v>
      </c>
      <c r="E9" s="20">
        <f>3.89+2.97+3.22+0.464+0.272+2.07+0.36</f>
        <v>13.246</v>
      </c>
      <c r="F9" s="20">
        <f>0.405+0.464+3.22+2.97+3.89</f>
        <v>10.949000000000002</v>
      </c>
      <c r="G9" s="20">
        <f>0.405+0.464+3.22+2.97+3.89</f>
        <v>10.949000000000002</v>
      </c>
      <c r="H9" s="22">
        <v>0</v>
      </c>
      <c r="I9" s="20">
        <v>3.89</v>
      </c>
      <c r="J9" s="20">
        <f>3.89+2.97</f>
        <v>6.86</v>
      </c>
      <c r="K9" s="20">
        <f>3.89+2.97+3.22+0.464+0.272+0.879</f>
        <v>11.695</v>
      </c>
      <c r="L9" s="20">
        <f>3.8+3.22+2.97+3.89</f>
        <v>13.88</v>
      </c>
      <c r="M9" s="20">
        <f>3.8+3.22+2.97+3.89+0.293+2.74+0.388+0.387</f>
        <v>17.688000000000002</v>
      </c>
      <c r="N9" s="20">
        <f>4.31+2.74+0.293+3.8+3.22+2.97+3.89</f>
        <v>21.223000000000003</v>
      </c>
      <c r="O9" s="20">
        <f>4.31+2.74+0.293+3.8+3.22+2.97+3.89</f>
        <v>21.223000000000003</v>
      </c>
      <c r="P9" s="20">
        <f>4.31+2.74+0.293+3.8+3.22+2.97+3.89</f>
        <v>21.223000000000003</v>
      </c>
      <c r="Q9" s="20">
        <f>3.89+2.97+3.22+3.8+0.293+2.74+4.31+3.1</f>
        <v>24.322999999999997</v>
      </c>
      <c r="R9" s="20">
        <f>3.72+3.1+4.31+2.74+0.293+3.8+3.22+2.97+3.89</f>
        <v>28.042999999999996</v>
      </c>
      <c r="S9" s="20">
        <f>0.684+0.203+3.06+4.31+2.74+0.293+3.8+3.22+2.97+3.89</f>
        <v>25.169999999999998</v>
      </c>
      <c r="T9" s="20">
        <f>0.203+3.06+4.31+2.74+0.293+3.8+3.22+2.97+3.89</f>
        <v>24.485999999999997</v>
      </c>
      <c r="U9" s="20">
        <f>3.89+2.97+3.22+0.464+0.272+2.07+0.98+0.36+3.58+2.57+1.39+0.876</f>
        <v>22.642000000000003</v>
      </c>
      <c r="V9" s="20">
        <f>3.89+2.97+3.22+0.464+0.272+2.07+0.98+0.36+3.58+2.57+1.39+0.876+5.21</f>
        <v>27.852000000000004</v>
      </c>
      <c r="W9" s="20">
        <f>3.89+2.97+3.22+0.464+0.272+2.07+0.98+0.36+3.58+1.34+2.82+2.13+1.96+4.14+1.23+3.68</f>
        <v>35.106000000000002</v>
      </c>
      <c r="X9" s="20">
        <f>3.89+2.97+3.22+0.464+0.272+2.07+0.98+0.36+3.58+1.34+2.82+2.13+1.96+4.14</f>
        <v>30.196000000000002</v>
      </c>
      <c r="Y9" s="20">
        <f>3.89+2.97+3.22+0.464+0.272+2.07+0.98+0.36+3.58+1.34+2.82+2.13+1.96</f>
        <v>26.056000000000001</v>
      </c>
      <c r="Z9" s="20">
        <f>3.89+2.97+3.22+0.464+0.272+2.07+0.98+0.36+3.58+1.34+2.82+2.13+1.96</f>
        <v>26.056000000000001</v>
      </c>
    </row>
    <row r="10" spans="1:26" x14ac:dyDescent="0.25">
      <c r="A10" s="21" t="s">
        <v>7</v>
      </c>
      <c r="B10" s="20">
        <f>1.34+3.58+0.98+0.36+2.07+0.272+0.464+3.22+2.97</f>
        <v>15.256000000000002</v>
      </c>
      <c r="C10" s="20">
        <f>3.58+0.98+0.36+2.07+0.272+0.464+3.22+2.97</f>
        <v>13.916000000000002</v>
      </c>
      <c r="D10" s="20">
        <f>3.58+0.98+0.36+2.07+0.272+0.464+3.22+2.97</f>
        <v>13.916000000000002</v>
      </c>
      <c r="E10" s="20">
        <f>2.97+3.22+0.464+0.272+2.07+0.36</f>
        <v>9.3559999999999999</v>
      </c>
      <c r="F10" s="20">
        <f>0.405+0.464+3.22+2.97</f>
        <v>7.0590000000000011</v>
      </c>
      <c r="G10" s="20">
        <f>0.405+0.464+3.22+2.97</f>
        <v>7.0590000000000011</v>
      </c>
      <c r="H10" s="20">
        <v>3.89</v>
      </c>
      <c r="I10" s="22">
        <v>0</v>
      </c>
      <c r="J10" s="20">
        <f>2.97</f>
        <v>2.97</v>
      </c>
      <c r="K10" s="20">
        <f>3.89+5.79+0.405+0.272+0.879</f>
        <v>11.235999999999999</v>
      </c>
      <c r="L10" s="20">
        <f>3.8+3.22+2.97</f>
        <v>9.99</v>
      </c>
      <c r="M10" s="20">
        <f>3.8+3.22+2.97+0.293+2.74+0.388+0.387</f>
        <v>13.798</v>
      </c>
      <c r="N10" s="20">
        <f>2.97+3.22+3.8+0.293+2.74+4.31</f>
        <v>17.332999999999998</v>
      </c>
      <c r="O10" s="20">
        <f>2.97+3.22+3.8+0.293+2.74+4.31</f>
        <v>17.332999999999998</v>
      </c>
      <c r="P10" s="20">
        <f>2.97+3.22+3.8+0.293+2.74+4.31</f>
        <v>17.332999999999998</v>
      </c>
      <c r="Q10" s="20">
        <f>2.97+3.22+3.8+0.293+2.74+4.31+3.1</f>
        <v>20.433</v>
      </c>
      <c r="R10" s="20">
        <f>3.72+3.1+4.31+2.74+0.293+3.8+3.22+2.97</f>
        <v>24.152999999999995</v>
      </c>
      <c r="S10" s="20">
        <f>0.684+0.203+3.06+4.31+2.74+0.293+3.8+3.22+2.97</f>
        <v>21.279999999999998</v>
      </c>
      <c r="T10" s="20">
        <f>0.203+3.06+4.31+2.74+0.293+3.8+3.22+2.97</f>
        <v>20.595999999999997</v>
      </c>
      <c r="U10" s="20">
        <f>2.97+3.22+0.464+0.272+2.07+0.98+0.36+3.58+2.57+1.39+0.876</f>
        <v>18.752000000000002</v>
      </c>
      <c r="V10" s="20">
        <f>2.97+3.22+0.464+0.272+2.07+0.98+0.36+3.58+2.57+1.39+0.876+5.21</f>
        <v>23.962000000000003</v>
      </c>
      <c r="W10" s="20">
        <f>3.68+1.23+4.14+1.96+2.13+2.82+1.34+3.58+0.98+0.36+2.07+0.272+0.464+3.22+2.97</f>
        <v>31.215999999999998</v>
      </c>
      <c r="X10" s="20">
        <f>2.97+3.22+0.464+0.272+2.07+0.98+0.36+3.58+1.34+2.82+2.13+1.96+4.14</f>
        <v>26.306000000000001</v>
      </c>
      <c r="Y10" s="20">
        <f>2.97+3.22+0.464+0.272+2.07+0.98+0.36+3.58+1.34+2.82+2.13+1.96</f>
        <v>22.166</v>
      </c>
      <c r="Z10" s="20">
        <f>2.97+3.22+0.464+0.272+2.07+0.98+0.36+3.58+1.34+2.82+2.13+1.96</f>
        <v>22.166</v>
      </c>
    </row>
    <row r="11" spans="1:26" x14ac:dyDescent="0.25">
      <c r="A11" s="21" t="s">
        <v>23</v>
      </c>
      <c r="B11" s="20">
        <f>1.34+3.58+0.98+0.36+2.07+0.272+0.464+3.22</f>
        <v>12.286000000000001</v>
      </c>
      <c r="C11" s="20">
        <f>3.58+0.98+0.36+2.07+0.272+0.464+3.22</f>
        <v>10.946000000000002</v>
      </c>
      <c r="D11" s="20">
        <f>3.58+0.98+0.36+2.07+0.272+0.464+3.22</f>
        <v>10.946000000000002</v>
      </c>
      <c r="E11" s="20">
        <f>0.36+2.07+0.272+0.464+3.22</f>
        <v>6.3860000000000001</v>
      </c>
      <c r="F11" s="24">
        <f>0.405+0.464+3.22</f>
        <v>4.0890000000000004</v>
      </c>
      <c r="G11" s="24">
        <f>0.405+0.464+3.22</f>
        <v>4.0890000000000004</v>
      </c>
      <c r="H11" s="20">
        <f>3.89+2.97</f>
        <v>6.86</v>
      </c>
      <c r="I11" s="20">
        <f>2.97</f>
        <v>2.97</v>
      </c>
      <c r="J11" s="22">
        <v>0</v>
      </c>
      <c r="K11" s="24">
        <f>0.879+0.272+0.464+3.22</f>
        <v>4.835</v>
      </c>
      <c r="L11" s="20">
        <f>3.8+3.22</f>
        <v>7.02</v>
      </c>
      <c r="M11" s="20">
        <f>3.8+3.22+0.293+2.74+0.388+0.387</f>
        <v>10.828000000000001</v>
      </c>
      <c r="N11" s="20">
        <f>4.31+2.74+0.293+3.8+3.22</f>
        <v>14.363000000000001</v>
      </c>
      <c r="O11" s="20">
        <f t="shared" ref="O11:P11" si="4">4.31+2.74+0.293+3.8+3.22</f>
        <v>14.363000000000001</v>
      </c>
      <c r="P11" s="20">
        <f t="shared" si="4"/>
        <v>14.363000000000001</v>
      </c>
      <c r="Q11" s="20">
        <f>3.22+3.8+0.293+2.74+4.31+3.1</f>
        <v>17.463000000000001</v>
      </c>
      <c r="R11" s="20">
        <f>3.72+3.1+4.31+2.74+0.293+3.8+3.22</f>
        <v>21.182999999999996</v>
      </c>
      <c r="S11" s="20">
        <f>0.684+0.203+3.06+4.31+2.74+0.293+3.8+3.22</f>
        <v>18.309999999999999</v>
      </c>
      <c r="T11" s="20">
        <f>0.203+3.06+4.31+2.74+0.293+3.8+3.22</f>
        <v>17.625999999999998</v>
      </c>
      <c r="U11" s="20">
        <f>3.22+0.464+0.272+2.07+0.98+0.36+3.58+2.57+1.39+0.876</f>
        <v>15.782000000000002</v>
      </c>
      <c r="V11" s="20">
        <f>3.22+0.464+0.272+2.07+0.98+0.36+3.58+2.57+1.39+0.876+5.21</f>
        <v>20.992000000000001</v>
      </c>
      <c r="W11" s="20">
        <f>3.68+1.23+4.14+1.96+2.13+2.82+1.34+3.58+0.98+0.36+2.07+0.272+0.464+3.22</f>
        <v>28.245999999999999</v>
      </c>
      <c r="X11" s="20">
        <f>3.22+0.464+0.272+2.07+0.98+0.36+3.58+1.34+2.82+2.13+1.96+4.14</f>
        <v>23.336000000000002</v>
      </c>
      <c r="Y11" s="20">
        <f>3.22+0.464+0.272+2.07+0.98+0.36+3.58+1.34+2.82+2.13+1.96</f>
        <v>19.196000000000002</v>
      </c>
      <c r="Z11" s="20">
        <f>3.22+0.464+0.272+2.07+0.98+0.36+3.58+1.34+2.82+2.13+1.96</f>
        <v>19.196000000000002</v>
      </c>
    </row>
    <row r="12" spans="1:26" x14ac:dyDescent="0.25">
      <c r="A12" s="21" t="s">
        <v>22</v>
      </c>
      <c r="B12" s="20">
        <f>1.34+3.58+0.98+0.36+2.07+0.879</f>
        <v>9.2089999999999996</v>
      </c>
      <c r="C12" s="20">
        <f>3.58+0.98+0.36+2.07+0.879</f>
        <v>7.8689999999999998</v>
      </c>
      <c r="D12" s="20">
        <f>3.58+0.98+0.36+2.07+0.879</f>
        <v>7.8689999999999998</v>
      </c>
      <c r="E12" s="20">
        <f>0.36+2.07+0.879</f>
        <v>3.3089999999999997</v>
      </c>
      <c r="F12" s="24">
        <f>0.879+0.272+0.405</f>
        <v>1.556</v>
      </c>
      <c r="G12" s="24">
        <f>0.879+0.272+0.405</f>
        <v>1.556</v>
      </c>
      <c r="H12" s="20">
        <f>3.89+2.97+3.22+0.464+0.272+0.879</f>
        <v>11.695</v>
      </c>
      <c r="I12" s="20">
        <f>3.89+5.79+0.405+0.272+0.879</f>
        <v>11.235999999999999</v>
      </c>
      <c r="J12" s="24">
        <f>0.879+0.272+0.464+3.22</f>
        <v>4.835</v>
      </c>
      <c r="K12" s="22">
        <v>0</v>
      </c>
      <c r="L12" s="20">
        <v>1.81</v>
      </c>
      <c r="M12" s="20">
        <f>1.81+0.293+2.74+0.388+0.387</f>
        <v>5.6180000000000003</v>
      </c>
      <c r="N12" s="20">
        <f>4.31+2.74+0.293+1.81</f>
        <v>9.1530000000000005</v>
      </c>
      <c r="O12" s="20">
        <f t="shared" ref="O12:P12" si="5">4.31+2.74+0.293+1.81</f>
        <v>9.1530000000000005</v>
      </c>
      <c r="P12" s="20">
        <f t="shared" si="5"/>
        <v>9.1530000000000005</v>
      </c>
      <c r="Q12" s="20">
        <f>1.81+0.293+2.74+4.31+3.1</f>
        <v>12.252999999999998</v>
      </c>
      <c r="R12" s="20">
        <f>3.72+3.1+4.31+2.74+0.293+1.81</f>
        <v>15.972999999999999</v>
      </c>
      <c r="S12" s="20">
        <f>0.684+0.203+3.06+4.31+2.74+0.293+1.81</f>
        <v>13.1</v>
      </c>
      <c r="T12" s="20">
        <f>0.203+3.06+4.31+2.74+0.293+1.81</f>
        <v>12.415999999999999</v>
      </c>
      <c r="U12" s="20">
        <f>0.876+1.39+0.455+0.684+0.203+3.06+4.31+2.74+0.293+1.81</f>
        <v>15.821</v>
      </c>
      <c r="V12" s="20">
        <f>0.879+2.07+0.98+0.36+3.58+2.57+1.39+0.876+5.21</f>
        <v>17.914999999999999</v>
      </c>
      <c r="W12" s="20">
        <f>3.68+1.23+4.14+1.96+2.13+2.82+1.34+3.58+0.98+0.36+2.07+0.879</f>
        <v>25.169000000000004</v>
      </c>
      <c r="X12" s="20">
        <f>4.14+1.96+2.13+2.82+1.34+3.58+0.98+0.36+2.07+0.879</f>
        <v>20.259</v>
      </c>
      <c r="Y12" s="20">
        <f>1.96+2.13+2.82+1.34+3.58+0.98+0.36+2.07+0.879</f>
        <v>16.119</v>
      </c>
      <c r="Z12" s="20">
        <f>1.96+2.13+2.82+1.34+3.58+0.98+0.36+2.07+0.879</f>
        <v>16.119</v>
      </c>
    </row>
    <row r="13" spans="1:26" x14ac:dyDescent="0.25">
      <c r="A13" s="21" t="s">
        <v>19</v>
      </c>
      <c r="B13" s="20">
        <f>1.34+3.58+0.98+0.36+2.07+0.272+0.464+3.8</f>
        <v>12.866</v>
      </c>
      <c r="C13" s="20">
        <f>3.58+0.98+0.36+2.07+0.272+0.464+3.8</f>
        <v>11.526</v>
      </c>
      <c r="D13" s="20">
        <f>3.58+0.98+0.36+2.07+0.272+0.464+3.8</f>
        <v>11.526</v>
      </c>
      <c r="E13" s="20">
        <f>3.8+0.464+0.272+2.07+0.36</f>
        <v>6.9660000000000002</v>
      </c>
      <c r="F13" s="20">
        <f>0.405+0.464+3.8</f>
        <v>4.6689999999999996</v>
      </c>
      <c r="G13" s="20">
        <f>0.405+0.464+3.8</f>
        <v>4.6689999999999996</v>
      </c>
      <c r="H13" s="20">
        <f>3.8+3.22+2.97+3.89</f>
        <v>13.88</v>
      </c>
      <c r="I13" s="20">
        <f>3.8+3.22+2.97</f>
        <v>9.99</v>
      </c>
      <c r="J13" s="20">
        <f>3.8+3.22</f>
        <v>7.02</v>
      </c>
      <c r="K13" s="20">
        <v>1.81</v>
      </c>
      <c r="L13" s="22">
        <v>0</v>
      </c>
      <c r="M13" s="20">
        <f>0.293+2.74+0.388+0.387</f>
        <v>3.8080000000000003</v>
      </c>
      <c r="N13" s="20">
        <f>4.31+2.74+0.293</f>
        <v>7.343</v>
      </c>
      <c r="O13" s="20">
        <f t="shared" ref="O13:P13" si="6">4.31+2.74+0.293</f>
        <v>7.343</v>
      </c>
      <c r="P13" s="20">
        <f t="shared" si="6"/>
        <v>7.343</v>
      </c>
      <c r="Q13" s="20">
        <f>0.293+2.74+4.31+3.1</f>
        <v>10.443</v>
      </c>
      <c r="R13" s="20">
        <f>3.72+3.1+4.31+2.74+0.293</f>
        <v>14.162999999999998</v>
      </c>
      <c r="S13" s="20">
        <f>0.684+0.203+3.06+4.31+2.74+0.293</f>
        <v>11.29</v>
      </c>
      <c r="T13" s="20">
        <f>0.203+3.06+4.31+2.74+0.293</f>
        <v>10.605999999999998</v>
      </c>
      <c r="U13" s="20">
        <f>0.876+1.39+0.455+0.684+0.203+3.06+4.31+2.74+0.293</f>
        <v>14.010999999999999</v>
      </c>
      <c r="V13" s="20">
        <f>5.21+0.876+1.39+0.455+0.684+0.203+3.06+4.31+2.74+0.293</f>
        <v>19.220999999999997</v>
      </c>
      <c r="W13" s="20">
        <f>3.68+1.23+4.14+1.96+2.13+2.82+1.34+3.58+0.98+0.36+2.07+0.272+0.464+3.8</f>
        <v>28.826000000000001</v>
      </c>
      <c r="X13" s="20">
        <f>4.14+1.96+2.13+2.82+1.34+3.58+0.98+0.36+2.07+0.272+0.464+3.8</f>
        <v>23.915999999999997</v>
      </c>
      <c r="Y13" s="20">
        <f>1.96+2.13+2.82+1.34+3.58+0.98+0.36+2.07+0.272+0.464+3.8</f>
        <v>19.776</v>
      </c>
      <c r="Z13" s="20">
        <f>1.96+2.13+2.82+1.34+3.58+0.98+0.36+2.07+0.272+0.464+3.8</f>
        <v>19.776</v>
      </c>
    </row>
    <row r="14" spans="1:26" x14ac:dyDescent="0.25">
      <c r="A14" s="21" t="s">
        <v>2</v>
      </c>
      <c r="B14" s="20">
        <f>1.34+3.58+0.98+0.36+2.07+0.272+0.464+3.8+0.293+2.74+0.388+0.387</f>
        <v>16.673999999999999</v>
      </c>
      <c r="C14" s="20">
        <f>3.58+0.98+0.36+2.07+0.272+0.464+3.8+0.293+2.74+0.388+0.387</f>
        <v>15.334</v>
      </c>
      <c r="D14" s="20">
        <f>3.58+0.98+0.36+2.07+0.272+0.464+3.8+0.293+2.74+0.388+0.387</f>
        <v>15.334</v>
      </c>
      <c r="E14" s="20">
        <f>3.8+0.464+0.272+2.07+0.36+0.293+2.74+0.388+0.387</f>
        <v>10.774000000000001</v>
      </c>
      <c r="F14" s="20">
        <f>0.405+0.464+3.8+0.293+2.74+0.388+0.387</f>
        <v>8.4770000000000003</v>
      </c>
      <c r="G14" s="20">
        <f>0.405+0.464+3.8+0.293+2.74+0.388+0.387</f>
        <v>8.4770000000000003</v>
      </c>
      <c r="H14" s="20">
        <f>3.8+3.22+2.97+3.89+0.293+2.74+0.388+0.387</f>
        <v>17.688000000000002</v>
      </c>
      <c r="I14" s="20">
        <f>3.8+3.22+2.97+0.293+2.74+0.388+0.387</f>
        <v>13.798</v>
      </c>
      <c r="J14" s="20">
        <f>3.8+3.22+0.293+2.74+0.388+0.387</f>
        <v>10.828000000000001</v>
      </c>
      <c r="K14" s="20">
        <f>1.81+0.293+2.74+0.388+0.387</f>
        <v>5.6180000000000003</v>
      </c>
      <c r="L14" s="20">
        <f>0.293+2.74+0.388+0.387</f>
        <v>3.8080000000000003</v>
      </c>
      <c r="M14" s="22">
        <v>0</v>
      </c>
      <c r="N14" s="20">
        <f>0.388+0.387+4.31</f>
        <v>5.085</v>
      </c>
      <c r="O14" s="20">
        <f t="shared" ref="O14:P14" si="7">0.388+0.387+4.31</f>
        <v>5.085</v>
      </c>
      <c r="P14" s="20">
        <f t="shared" si="7"/>
        <v>5.085</v>
      </c>
      <c r="Q14" s="20">
        <f>0.387+0.388+4.31+3.1</f>
        <v>8.1850000000000005</v>
      </c>
      <c r="R14" s="20">
        <f>0.387+0.388+4.31+3.1+3.72</f>
        <v>11.905000000000001</v>
      </c>
      <c r="S14" s="20">
        <f>0.684+0.203+3.06+4.31+0.387+0.388</f>
        <v>9.032</v>
      </c>
      <c r="T14" s="20">
        <f>0.203+3.06+4.31+0.387+0.388</f>
        <v>8.347999999999999</v>
      </c>
      <c r="U14" s="20">
        <f>0.876+1.39+0.455+0.684+0.203+3.06+4.31+0.387+0.388</f>
        <v>11.753</v>
      </c>
      <c r="V14" s="20">
        <f>5.21+0.876+1.39+0.455+0.684+0.203+3.06+4.31+0.387+0.388</f>
        <v>16.963000000000001</v>
      </c>
      <c r="W14" s="20">
        <f>1.38+3.06+0.203+0.684+0.455+1.39+0.876+5.21+1.46+3.68</f>
        <v>18.398</v>
      </c>
      <c r="X14" s="20">
        <f>1.38+3.06+0.203+0.684+0.455+1.39+0.876+5.21+1.46+1.23</f>
        <v>15.948</v>
      </c>
      <c r="Y14" s="20">
        <f>1.96+2.13+2.82+1.34+2.57+0.455+0.684+0.203+3.06+1.38</f>
        <v>16.602</v>
      </c>
      <c r="Z14" s="20">
        <f>1.96+2.13+2.82+1.34+2.57+0.455+0.684+0.203+3.06+1.38</f>
        <v>16.602</v>
      </c>
    </row>
    <row r="15" spans="1:26" x14ac:dyDescent="0.25">
      <c r="A15" s="21" t="s">
        <v>24</v>
      </c>
      <c r="B15" s="20">
        <f>1.34+2.57+0.455+0.684+0.203+3.06</f>
        <v>8.3120000000000012</v>
      </c>
      <c r="C15" s="20">
        <f>2.57+0.455+0.684+0.203+3.06</f>
        <v>6.9719999999999995</v>
      </c>
      <c r="D15" s="20">
        <f>2.57+0.455+0.684+0.203+3.06</f>
        <v>6.9719999999999995</v>
      </c>
      <c r="E15" s="20">
        <f>4.31+2.74+0.293+3.8+0.464+0.272+2.07+0.36</f>
        <v>14.309000000000001</v>
      </c>
      <c r="F15" s="20">
        <f t="shared" ref="F15:G17" si="8">0.405+0.464+3.8+0.293+2.74+4.31</f>
        <v>12.012</v>
      </c>
      <c r="G15" s="20">
        <f t="shared" si="8"/>
        <v>12.012</v>
      </c>
      <c r="H15" s="20">
        <f>4.31+2.74+0.293+3.8+3.22+2.97+3.89</f>
        <v>21.223000000000003</v>
      </c>
      <c r="I15" s="20">
        <f>2.97+3.22+3.8+0.293+2.74+4.31</f>
        <v>17.332999999999998</v>
      </c>
      <c r="J15" s="20">
        <f>4.31+2.74+0.293+3.8+3.22</f>
        <v>14.363000000000001</v>
      </c>
      <c r="K15" s="20">
        <f>4.31+2.74+0.293+1.81</f>
        <v>9.1530000000000005</v>
      </c>
      <c r="L15" s="20">
        <f>4.31+2.74+0.293</f>
        <v>7.343</v>
      </c>
      <c r="M15" s="20">
        <f>0.388+0.387+4.31</f>
        <v>5.085</v>
      </c>
      <c r="N15" s="22">
        <v>0</v>
      </c>
      <c r="O15" s="22">
        <v>0</v>
      </c>
      <c r="P15" s="22">
        <v>0</v>
      </c>
      <c r="Q15" s="20">
        <v>3.1</v>
      </c>
      <c r="R15" s="20">
        <f>3.1+3.72</f>
        <v>6.82</v>
      </c>
      <c r="S15" s="20">
        <f>3.06+0.203+0.684</f>
        <v>3.9470000000000001</v>
      </c>
      <c r="T15" s="20">
        <f>3.06+0.203</f>
        <v>3.2629999999999999</v>
      </c>
      <c r="U15" s="20">
        <f>3.06+0.203+0.684+0.455+1.39+0.876</f>
        <v>6.6680000000000001</v>
      </c>
      <c r="V15" s="20">
        <f>5.21+0.876+1.39+0.455+0.684+0.203+3.06</f>
        <v>11.878</v>
      </c>
      <c r="W15" s="20">
        <f>3.68+1.46+5.21+0.876+1.39+0.455+0.684+0.203+3.06</f>
        <v>17.018000000000001</v>
      </c>
      <c r="X15" s="20">
        <f>1.23+1.46+5.21+0.876+1.39+0.455+0.684+0.203+3.06</f>
        <v>14.568</v>
      </c>
      <c r="Y15" s="20">
        <f t="shared" ref="Y15:Z17" si="9">1.96+2.13+2.82+1.34+2.57+0.455+0.684+0.203+3.06</f>
        <v>15.222</v>
      </c>
      <c r="Z15" s="20">
        <f t="shared" si="9"/>
        <v>15.222</v>
      </c>
    </row>
    <row r="16" spans="1:26" x14ac:dyDescent="0.25">
      <c r="A16" s="21" t="s">
        <v>8</v>
      </c>
      <c r="B16" s="20">
        <f>1.34+2.57+0.455+0.684+0.203+3.06</f>
        <v>8.3120000000000012</v>
      </c>
      <c r="C16" s="20">
        <f t="shared" ref="C16:D17" si="10">2.57+0.455+0.684+0.203+3.06</f>
        <v>6.9719999999999995</v>
      </c>
      <c r="D16" s="20">
        <f t="shared" si="10"/>
        <v>6.9719999999999995</v>
      </c>
      <c r="E16" s="20">
        <f t="shared" ref="E16:E17" si="11">4.31+2.74+0.293+3.8+0.464+0.272+2.07+0.36</f>
        <v>14.309000000000001</v>
      </c>
      <c r="F16" s="20">
        <f t="shared" si="8"/>
        <v>12.012</v>
      </c>
      <c r="G16" s="20">
        <f t="shared" si="8"/>
        <v>12.012</v>
      </c>
      <c r="H16" s="20">
        <f>4.31+2.74+0.293+3.8+3.22+2.97+3.89</f>
        <v>21.223000000000003</v>
      </c>
      <c r="I16" s="20">
        <f>2.97+3.22+3.8+0.293+2.74+4.31</f>
        <v>17.332999999999998</v>
      </c>
      <c r="J16" s="20">
        <f>4.31+2.74+0.293+3.8+3.22</f>
        <v>14.363000000000001</v>
      </c>
      <c r="K16" s="20">
        <f>4.31+2.74+0.293+1.81</f>
        <v>9.1530000000000005</v>
      </c>
      <c r="L16" s="20">
        <f>4.31+2.74+0.293</f>
        <v>7.343</v>
      </c>
      <c r="M16" s="20">
        <f>0.388+0.387+4.31</f>
        <v>5.085</v>
      </c>
      <c r="N16" s="22">
        <v>0</v>
      </c>
      <c r="O16" s="22">
        <v>0</v>
      </c>
      <c r="P16" s="22">
        <v>0</v>
      </c>
      <c r="Q16" s="20">
        <v>3.1</v>
      </c>
      <c r="R16" s="20">
        <f>3.1+3.72</f>
        <v>6.82</v>
      </c>
      <c r="S16" s="20">
        <f>3.06+0.203+0.684</f>
        <v>3.9470000000000001</v>
      </c>
      <c r="T16" s="20">
        <f>3.06+0.203</f>
        <v>3.2629999999999999</v>
      </c>
      <c r="U16" s="20">
        <f>3.06+0.203+0.684+0.455+1.39+0.876</f>
        <v>6.6680000000000001</v>
      </c>
      <c r="V16" s="20">
        <f>5.21+0.876+1.39+0.455+0.684+0.203+3.06</f>
        <v>11.878</v>
      </c>
      <c r="W16" s="20">
        <f>3.68+1.46+5.21+0.876+1.39+0.455+0.684+0.203+3.06</f>
        <v>17.018000000000001</v>
      </c>
      <c r="X16" s="20">
        <f>1.23+1.46+5.21+0.876+1.39+0.455+0.684+0.203+3.06</f>
        <v>14.568</v>
      </c>
      <c r="Y16" s="20">
        <f t="shared" si="9"/>
        <v>15.222</v>
      </c>
      <c r="Z16" s="20">
        <f t="shared" si="9"/>
        <v>15.222</v>
      </c>
    </row>
    <row r="17" spans="1:26" x14ac:dyDescent="0.25">
      <c r="A17" s="21" t="s">
        <v>30</v>
      </c>
      <c r="B17" s="20">
        <f>1.34+2.57+0.455+0.684+0.203+3.06</f>
        <v>8.3120000000000012</v>
      </c>
      <c r="C17" s="20">
        <f t="shared" si="10"/>
        <v>6.9719999999999995</v>
      </c>
      <c r="D17" s="20">
        <f t="shared" si="10"/>
        <v>6.9719999999999995</v>
      </c>
      <c r="E17" s="20">
        <f t="shared" si="11"/>
        <v>14.309000000000001</v>
      </c>
      <c r="F17" s="20">
        <f t="shared" si="8"/>
        <v>12.012</v>
      </c>
      <c r="G17" s="20">
        <f t="shared" si="8"/>
        <v>12.012</v>
      </c>
      <c r="H17" s="20">
        <f>4.31+2.74+0.293+3.8+3.22+2.97+3.89</f>
        <v>21.223000000000003</v>
      </c>
      <c r="I17" s="20">
        <f>2.97+3.22+3.8+0.293+2.74+4.31</f>
        <v>17.332999999999998</v>
      </c>
      <c r="J17" s="20">
        <f>4.31+2.74+0.293+3.8+3.22</f>
        <v>14.363000000000001</v>
      </c>
      <c r="K17" s="20">
        <f>4.31+2.74+0.293+1.81</f>
        <v>9.1530000000000005</v>
      </c>
      <c r="L17" s="20">
        <f>4.31+2.74+0.293</f>
        <v>7.343</v>
      </c>
      <c r="M17" s="20">
        <f>0.388+0.387+4.31</f>
        <v>5.085</v>
      </c>
      <c r="N17" s="22">
        <v>0</v>
      </c>
      <c r="O17" s="22">
        <v>0</v>
      </c>
      <c r="P17" s="22">
        <v>0</v>
      </c>
      <c r="Q17" s="20">
        <v>3.1</v>
      </c>
      <c r="R17" s="20">
        <f>3.1+3.72</f>
        <v>6.82</v>
      </c>
      <c r="S17" s="20">
        <f>3.06+0.203+0.684</f>
        <v>3.9470000000000001</v>
      </c>
      <c r="T17" s="20">
        <f>3.06+0.203</f>
        <v>3.2629999999999999</v>
      </c>
      <c r="U17" s="20">
        <f>3.06+0.203+0.684+0.455+1.39+0.876</f>
        <v>6.6680000000000001</v>
      </c>
      <c r="V17" s="20">
        <f>5.21+0.876+1.39+0.455+0.684+0.203+3.06</f>
        <v>11.878</v>
      </c>
      <c r="W17" s="20">
        <f>3.68+1.46+5.21+0.876+1.39+0.455+0.684+0.203+3.06</f>
        <v>17.018000000000001</v>
      </c>
      <c r="X17" s="20">
        <f>1.23+1.46+5.21+0.876+1.39+0.455+0.684+0.203+3.06</f>
        <v>14.568</v>
      </c>
      <c r="Y17" s="20">
        <f t="shared" si="9"/>
        <v>15.222</v>
      </c>
      <c r="Z17" s="20">
        <f t="shared" si="9"/>
        <v>15.222</v>
      </c>
    </row>
    <row r="18" spans="1:26" x14ac:dyDescent="0.25">
      <c r="A18" s="21" t="s">
        <v>0</v>
      </c>
      <c r="B18" s="20">
        <f>1.34+2.57+0.455+0.684+0.203+3.06+3.1</f>
        <v>11.412000000000001</v>
      </c>
      <c r="C18" s="20">
        <f>2.57+0.455+0.684+0.203+3.06+3.1</f>
        <v>10.071999999999999</v>
      </c>
      <c r="D18" s="20">
        <f>2.57+0.455+0.684+0.203+3.06+3.1</f>
        <v>10.071999999999999</v>
      </c>
      <c r="E18" s="20">
        <f>3.1+4.31+2.74+0.293+3.8+0.464+0.272+2.07+0.36</f>
        <v>17.408999999999999</v>
      </c>
      <c r="F18" s="20">
        <f>0.405+0.464+3.8+0.293+2.74+4.31+3.1</f>
        <v>15.112</v>
      </c>
      <c r="G18" s="20">
        <f t="shared" ref="G18" si="12">0.405+0.464+3.8+0.293+2.74+4.31+3.1</f>
        <v>15.112</v>
      </c>
      <c r="H18" s="20">
        <f>3.89+2.97+3.22+3.8+0.293+2.74+4.31+3.1</f>
        <v>24.322999999999997</v>
      </c>
      <c r="I18" s="20">
        <f>2.97+3.22+3.8+0.293+2.74+4.31+3.1</f>
        <v>20.433</v>
      </c>
      <c r="J18" s="20">
        <f>3.22+3.8+0.293+2.74+4.31+3.1</f>
        <v>17.463000000000001</v>
      </c>
      <c r="K18" s="20">
        <f>1.81+0.293+2.74+4.31+3.1</f>
        <v>12.252999999999998</v>
      </c>
      <c r="L18" s="20">
        <f>0.293+2.74+4.31+3.1</f>
        <v>10.443</v>
      </c>
      <c r="M18" s="20">
        <f>0.387+0.388+4.31+3.1</f>
        <v>8.1850000000000005</v>
      </c>
      <c r="N18" s="20">
        <v>3.1</v>
      </c>
      <c r="O18" s="20">
        <v>3.1</v>
      </c>
      <c r="P18" s="20">
        <v>3.1</v>
      </c>
      <c r="Q18" s="22">
        <v>0</v>
      </c>
      <c r="R18" s="20">
        <v>3.72</v>
      </c>
      <c r="S18" s="20">
        <f>3.1+3.06+0.203+0.684</f>
        <v>7.0470000000000006</v>
      </c>
      <c r="T18" s="20">
        <f>3.1+3.06+0.203</f>
        <v>6.3630000000000004</v>
      </c>
      <c r="U18" s="20">
        <f>3.1+3.06+0.203+0.684+0.455+1.39+0.876</f>
        <v>9.7680000000000007</v>
      </c>
      <c r="V18" s="20">
        <f>3.1+3.06+0.203+0.684+0.455+1.39+0.876+5.21</f>
        <v>14.978000000000002</v>
      </c>
      <c r="W18" s="20">
        <f>3.68+1.46+5.21+0.876+1.39+0.455+0.684+0.203+3.06+3.1</f>
        <v>20.118000000000002</v>
      </c>
      <c r="X18" s="20">
        <f>1.23+1.46+5.21+0.876+1.39+0.455+0.684+0.203+3.06+3.1</f>
        <v>17.667999999999999</v>
      </c>
      <c r="Y18" s="20">
        <f>1.96+2.13+2.82+1.34+2.57+0.455+0.684+0.203+3.06+3.1</f>
        <v>18.321999999999999</v>
      </c>
      <c r="Z18" s="20">
        <f>1.96+2.13+2.82+1.34+2.57+0.455+0.684+0.203+3.06+3.1</f>
        <v>18.321999999999999</v>
      </c>
    </row>
    <row r="19" spans="1:26" x14ac:dyDescent="0.25">
      <c r="A19" s="21" t="s">
        <v>3</v>
      </c>
      <c r="B19" s="24">
        <f>1.34+2.57+1.39+2.05+9.89</f>
        <v>17.240000000000002</v>
      </c>
      <c r="C19" s="20">
        <f>2.57+1.39+2.05+9.89</f>
        <v>15.9</v>
      </c>
      <c r="D19" s="20">
        <f>2.57+1.39+2.05+9.89</f>
        <v>15.9</v>
      </c>
      <c r="E19" s="20">
        <f>0.98+3.58+2.57+1.39+2.05+9.89</f>
        <v>20.46</v>
      </c>
      <c r="F19" s="20">
        <f>3.72+3.1+4.31+2.74+0.293+3.8+0.464+0.405</f>
        <v>18.831999999999997</v>
      </c>
      <c r="G19" s="20">
        <f>3.72+3.1+4.31+2.74+0.293+3.8+0.464+0.405</f>
        <v>18.831999999999997</v>
      </c>
      <c r="H19" s="20">
        <f>3.72+3.1+4.31+2.74+0.293+3.8+3.22+2.97+3.89</f>
        <v>28.042999999999996</v>
      </c>
      <c r="I19" s="20">
        <f>3.72+3.1+4.31+2.74+0.293+3.8+3.22+2.97</f>
        <v>24.152999999999995</v>
      </c>
      <c r="J19" s="20">
        <f>3.72+3.1+4.31+2.74+0.293+3.8+3.22</f>
        <v>21.182999999999996</v>
      </c>
      <c r="K19" s="20">
        <f>3.72+3.1+4.31+2.74+0.293+1.81</f>
        <v>15.972999999999999</v>
      </c>
      <c r="L19" s="20">
        <f>3.72+3.1+4.31+2.74+0.293</f>
        <v>14.162999999999998</v>
      </c>
      <c r="M19" s="20">
        <f>0.387+0.388+4.31+3.1+3.72</f>
        <v>11.905000000000001</v>
      </c>
      <c r="N19" s="20">
        <f>3.1+3.72</f>
        <v>6.82</v>
      </c>
      <c r="O19" s="20">
        <f t="shared" ref="O19:P19" si="13">3.1+3.72</f>
        <v>6.82</v>
      </c>
      <c r="P19" s="20">
        <f t="shared" si="13"/>
        <v>6.82</v>
      </c>
      <c r="Q19" s="20">
        <v>3.72</v>
      </c>
      <c r="R19" s="22">
        <v>0</v>
      </c>
      <c r="S19" s="20">
        <f>3.72+3.1+3.06+0.203+0.684</f>
        <v>10.766999999999999</v>
      </c>
      <c r="T19" s="20">
        <f>3.72+3.1+3.06+0.203</f>
        <v>10.083</v>
      </c>
      <c r="U19" s="20">
        <f>9.89+2.05+0.876</f>
        <v>12.816000000000001</v>
      </c>
      <c r="V19" s="20">
        <f>9.89+2.05+0.876+5.21</f>
        <v>18.026</v>
      </c>
      <c r="W19" s="20">
        <f>3.68+1.46+5.21+0.876+2.05+9.89</f>
        <v>23.166</v>
      </c>
      <c r="X19" s="20">
        <f>1.23+1.46+5.21+0.876+2.05+9.89</f>
        <v>20.716000000000001</v>
      </c>
      <c r="Y19" s="20">
        <f>1.96+2.13+2.82+1.34+2.57+0.455+0.684+0.203+3.06+3.1+3.72</f>
        <v>22.041999999999998</v>
      </c>
      <c r="Z19" s="20">
        <f>1.96+2.13+2.82+1.34+2.57+0.455+0.684+0.203+3.06+3.1+3.72</f>
        <v>22.041999999999998</v>
      </c>
    </row>
    <row r="20" spans="1:26" x14ac:dyDescent="0.25">
      <c r="A20" s="21" t="s">
        <v>25</v>
      </c>
      <c r="B20" s="20">
        <f>2.57+0.455+1.34</f>
        <v>4.3650000000000002</v>
      </c>
      <c r="C20" s="20">
        <f>2.57+0.455</f>
        <v>3.0249999999999999</v>
      </c>
      <c r="D20" s="20">
        <f>2.57+0.455</f>
        <v>3.0249999999999999</v>
      </c>
      <c r="E20" s="20">
        <f>0.455+2.57+3.58+0.98</f>
        <v>7.5850000000000009</v>
      </c>
      <c r="F20" s="20">
        <f>0.405+0.272+2.07+0.98+0.36+3.58+2.57+0.455</f>
        <v>10.692</v>
      </c>
      <c r="G20" s="20">
        <f>0.405+0.272+2.07+0.98+0.36+3.58+2.57+0.455</f>
        <v>10.692</v>
      </c>
      <c r="H20" s="20">
        <f>0.684+0.203+3.06+4.31+2.74+0.293+3.8+3.22+2.97+3.89</f>
        <v>25.169999999999998</v>
      </c>
      <c r="I20" s="20">
        <f>0.684+0.203+3.06+4.31+2.74+0.293+3.8+3.22+2.97</f>
        <v>21.279999999999998</v>
      </c>
      <c r="J20" s="20">
        <f>0.684+0.203+3.06+4.31+2.74+0.293+3.8+3.22</f>
        <v>18.309999999999999</v>
      </c>
      <c r="K20" s="20">
        <f>0.684+0.203+3.06+4.31+2.74+0.293+1.81</f>
        <v>13.1</v>
      </c>
      <c r="L20" s="20">
        <f>0.684+0.203+3.06+4.31+2.74+0.293</f>
        <v>11.29</v>
      </c>
      <c r="M20" s="20">
        <f>0.684+0.203+3.06+4.31+0.387+0.388</f>
        <v>9.032</v>
      </c>
      <c r="N20" s="20">
        <f>3.06+0.203+0.684</f>
        <v>3.9470000000000001</v>
      </c>
      <c r="O20" s="20">
        <f t="shared" ref="O20:P20" si="14">3.06+0.203+0.684</f>
        <v>3.9470000000000001</v>
      </c>
      <c r="P20" s="20">
        <f t="shared" si="14"/>
        <v>3.9470000000000001</v>
      </c>
      <c r="Q20" s="20">
        <f>3.1+3.06+0.203+0.684</f>
        <v>7.0470000000000006</v>
      </c>
      <c r="R20" s="20">
        <f>3.72+3.1+3.06+0.203+0.684</f>
        <v>10.766999999999999</v>
      </c>
      <c r="S20" s="22">
        <v>0</v>
      </c>
      <c r="T20" s="20">
        <f>0.684</f>
        <v>0.68400000000000005</v>
      </c>
      <c r="U20" s="20">
        <f>0.455+1.39+0.876</f>
        <v>2.7210000000000001</v>
      </c>
      <c r="V20" s="20">
        <f>0.455+1.39+0.876+5.21</f>
        <v>7.931</v>
      </c>
      <c r="W20" s="20">
        <f>3.68+1.46+5.21+0.876+1.39+0.455</f>
        <v>13.071000000000002</v>
      </c>
      <c r="X20" s="20">
        <f>1.23+1.46+5.21+0.876+1.39+0.455</f>
        <v>10.621</v>
      </c>
      <c r="Y20" s="20">
        <f>1.96+2.13+2.82+1.34+2.57+0.455</f>
        <v>11.275</v>
      </c>
      <c r="Z20" s="20">
        <f>1.96+2.13+2.82+1.34+2.57+0.455</f>
        <v>11.275</v>
      </c>
    </row>
    <row r="21" spans="1:26" x14ac:dyDescent="0.25">
      <c r="A21" s="21" t="s">
        <v>5</v>
      </c>
      <c r="B21" s="20">
        <f>1.34+2.57+0.455+0.684</f>
        <v>5.0490000000000004</v>
      </c>
      <c r="C21" s="20">
        <f>2.57+0.455+0.684</f>
        <v>3.7090000000000001</v>
      </c>
      <c r="D21" s="20">
        <f>2.57+0.455+0.684</f>
        <v>3.7090000000000001</v>
      </c>
      <c r="E21" s="20">
        <f>0.684+0.455+2.57+3.58+0.98</f>
        <v>8.2690000000000001</v>
      </c>
      <c r="F21" s="20">
        <f>0.405+0.272+2.07+0.98+0.36+3.58+2.57+0.455+0.684</f>
        <v>11.375999999999999</v>
      </c>
      <c r="G21" s="20">
        <f>0.405+0.272+2.07+0.98+0.36+3.58+2.57+0.455+0.684</f>
        <v>11.375999999999999</v>
      </c>
      <c r="H21" s="20">
        <f>0.203+3.06+4.31+2.74+0.293+3.8+3.22+2.97+3.89</f>
        <v>24.485999999999997</v>
      </c>
      <c r="I21" s="20">
        <f>0.203+3.06+4.31+2.74+0.293+3.8+3.22+2.97</f>
        <v>20.595999999999997</v>
      </c>
      <c r="J21" s="20">
        <f>0.203+3.06+4.31+2.74+0.293+3.8+3.22</f>
        <v>17.625999999999998</v>
      </c>
      <c r="K21" s="20">
        <f>0.203+3.06+4.31+2.74+0.293+1.81</f>
        <v>12.415999999999999</v>
      </c>
      <c r="L21" s="20">
        <f>0.203+3.06+4.31+2.74+0.293</f>
        <v>10.605999999999998</v>
      </c>
      <c r="M21" s="20">
        <f>0.203+3.06+4.31+0.387+0.388</f>
        <v>8.347999999999999</v>
      </c>
      <c r="N21" s="20">
        <f>3.06+0.203</f>
        <v>3.2629999999999999</v>
      </c>
      <c r="O21" s="20">
        <f>3.06+0.203</f>
        <v>3.2629999999999999</v>
      </c>
      <c r="P21" s="20">
        <f>3.06+0.203</f>
        <v>3.2629999999999999</v>
      </c>
      <c r="Q21" s="20">
        <f>3.1+3.06+0.203</f>
        <v>6.3630000000000004</v>
      </c>
      <c r="R21" s="20">
        <f>3.72+3.1+3.06+0.203</f>
        <v>10.083</v>
      </c>
      <c r="S21" s="20">
        <f>0.684</f>
        <v>0.68400000000000005</v>
      </c>
      <c r="T21" s="22">
        <v>0</v>
      </c>
      <c r="U21" s="20">
        <f>0.684+0.455+1.39+0.876</f>
        <v>3.4049999999999998</v>
      </c>
      <c r="V21" s="20">
        <f>0.684+0.455+1.39+0.876+5.21</f>
        <v>8.6150000000000002</v>
      </c>
      <c r="W21" s="20">
        <f>0.684+0.455+1.39+0.876+5.21+1.46+3.68</f>
        <v>13.754999999999999</v>
      </c>
      <c r="X21" s="20">
        <f>0.684+0.455+1.39+0.876+5.21+1.46+1.23</f>
        <v>11.305</v>
      </c>
      <c r="Y21" s="20">
        <f>1.96+2.13+2.82+1.34+2.57+0.455+0.684</f>
        <v>11.959</v>
      </c>
      <c r="Z21" s="20">
        <f>1.96+2.13+2.82+1.34+2.57+0.455+0.684</f>
        <v>11.959</v>
      </c>
    </row>
    <row r="22" spans="1:26" x14ac:dyDescent="0.25">
      <c r="A22" s="21" t="s">
        <v>17</v>
      </c>
      <c r="B22" s="20">
        <f>1.34+2.57+1.39+0.876</f>
        <v>6.1760000000000002</v>
      </c>
      <c r="C22" s="20">
        <f>2.57+1.39+0.876</f>
        <v>4.8360000000000003</v>
      </c>
      <c r="D22" s="20">
        <f>2.57+1.39+0.876</f>
        <v>4.8360000000000003</v>
      </c>
      <c r="E22" s="20">
        <f>0.876+1.39+2.57+3.58+0.98</f>
        <v>9.3960000000000008</v>
      </c>
      <c r="F22" s="23">
        <f>0.405+0.272+2.07+0.98+0.36+3.58+2.57+1.39+0.876</f>
        <v>12.503</v>
      </c>
      <c r="G22" s="23">
        <f>0.405+0.272+2.07+0.98+0.36+3.58+2.57+1.39+0.876</f>
        <v>12.503</v>
      </c>
      <c r="H22" s="20">
        <f>3.89+2.97+3.22+0.464+0.272+2.07+0.98+0.36+3.58+2.57+1.39+0.876</f>
        <v>22.642000000000003</v>
      </c>
      <c r="I22" s="20">
        <f>2.97+3.22+0.464+0.272+2.07+0.98+0.36+3.58+2.57+1.39+0.876</f>
        <v>18.752000000000002</v>
      </c>
      <c r="J22" s="20">
        <f>3.22+0.464+0.272+2.07+0.98+0.36+3.58+2.57+1.39+0.876</f>
        <v>15.782000000000002</v>
      </c>
      <c r="K22" s="20">
        <f>0.876+1.39+0.455+0.684+0.203+3.06+4.31+2.74+0.293+1.81</f>
        <v>15.821</v>
      </c>
      <c r="L22" s="20">
        <f>0.876+1.39+0.455+0.684+0.203+3.06+4.31+2.74+0.293</f>
        <v>14.010999999999999</v>
      </c>
      <c r="M22" s="20">
        <f>0.876+1.39+0.455+0.684+0.203+3.06+4.31+0.387+0.388</f>
        <v>11.753</v>
      </c>
      <c r="N22" s="20">
        <f>3.06+0.203+0.684+0.455+1.39+0.876</f>
        <v>6.6680000000000001</v>
      </c>
      <c r="O22" s="20">
        <f t="shared" ref="O22:P22" si="15">3.06+0.203+0.684+0.455+1.39+0.876</f>
        <v>6.6680000000000001</v>
      </c>
      <c r="P22" s="20">
        <f t="shared" si="15"/>
        <v>6.6680000000000001</v>
      </c>
      <c r="Q22" s="20">
        <f>3.1+3.06+0.203+0.684+0.455+1.39+0.876</f>
        <v>9.7680000000000007</v>
      </c>
      <c r="R22" s="20">
        <f>9.89+2.05+0.876</f>
        <v>12.816000000000001</v>
      </c>
      <c r="S22" s="20">
        <f>0.455+1.39+0.876</f>
        <v>2.7210000000000001</v>
      </c>
      <c r="T22" s="20">
        <f>0.684+0.455+1.39+0.876</f>
        <v>3.4049999999999998</v>
      </c>
      <c r="U22" s="22">
        <v>0</v>
      </c>
      <c r="V22" s="20">
        <v>5.21</v>
      </c>
      <c r="W22" s="20">
        <f>3.68+1.46+5.21</f>
        <v>10.350000000000001</v>
      </c>
      <c r="X22" s="20">
        <f>1.23+1.46+5.21</f>
        <v>7.9</v>
      </c>
      <c r="Y22" s="20">
        <f>4.14+1.23+1.46+5.21</f>
        <v>12.04</v>
      </c>
      <c r="Z22" s="20">
        <f>4.14+1.23+1.46+5.21</f>
        <v>12.04</v>
      </c>
    </row>
    <row r="23" spans="1:26" x14ac:dyDescent="0.25">
      <c r="A23" s="21" t="s">
        <v>26</v>
      </c>
      <c r="B23" s="20">
        <f>2.57+1.39+0.876+5.21+1.34</f>
        <v>11.385999999999999</v>
      </c>
      <c r="C23" s="20">
        <f>2.57+1.39+0.876+5.21</f>
        <v>10.045999999999999</v>
      </c>
      <c r="D23" s="20">
        <f>2.57+1.39+0.876+5.21</f>
        <v>10.045999999999999</v>
      </c>
      <c r="E23" s="20">
        <f>0.98+3.58+2.57+1.39+0.876+5.21</f>
        <v>14.606000000000002</v>
      </c>
      <c r="F23" s="23">
        <f>0.405+0.272+2.07+0.98+0.36+3.58+2.57+1.39+0.876+5.21</f>
        <v>17.713000000000001</v>
      </c>
      <c r="G23" s="23">
        <f>0.405+0.272+2.07+0.98+0.36+3.58+2.57+1.39+0.876+5.21</f>
        <v>17.713000000000001</v>
      </c>
      <c r="H23" s="20">
        <f>3.89+2.97+3.22+0.464+0.272+2.07+0.98+0.36+3.58+2.57+1.39+0.876+5.21</f>
        <v>27.852000000000004</v>
      </c>
      <c r="I23" s="20">
        <f>2.97+3.22+0.464+0.272+2.07+0.98+0.36+3.58+2.57+1.39+0.876+5.21</f>
        <v>23.962000000000003</v>
      </c>
      <c r="J23" s="20">
        <f>3.22+0.464+0.272+2.07+0.98+0.36+3.58+2.57+1.39+0.876+5.21</f>
        <v>20.992000000000001</v>
      </c>
      <c r="K23" s="20">
        <f>0.879+2.07+0.98+0.36+3.58+2.57+1.39+0.876+5.21</f>
        <v>17.914999999999999</v>
      </c>
      <c r="L23" s="20">
        <f>5.21+0.876+1.39+0.455+0.684+0.203+3.06+4.31+2.74+0.293</f>
        <v>19.220999999999997</v>
      </c>
      <c r="M23" s="20">
        <f>5.21+0.876+1.39+0.455+0.684+0.203+3.06+4.31+0.387+0.388</f>
        <v>16.963000000000001</v>
      </c>
      <c r="N23" s="20">
        <f>5.21+0.876+1.39+0.455+0.684+0.203+3.06</f>
        <v>11.878</v>
      </c>
      <c r="O23" s="20">
        <f>5.21+0.876+1.39+0.455+0.684+0.203+3.06</f>
        <v>11.878</v>
      </c>
      <c r="P23" s="20">
        <f>5.21+0.876+1.39+0.455+0.684+0.203+3.06</f>
        <v>11.878</v>
      </c>
      <c r="Q23" s="20">
        <f>3.1+3.06+0.203+0.684+0.455+1.39+0.876+5.21</f>
        <v>14.978000000000002</v>
      </c>
      <c r="R23" s="20">
        <f>9.89+2.05+0.876+5.21</f>
        <v>18.026</v>
      </c>
      <c r="S23" s="20">
        <f>0.455+1.39+0.876+5.21</f>
        <v>7.931</v>
      </c>
      <c r="T23" s="20">
        <f>0.684+0.455+1.39+0.876+5.21</f>
        <v>8.6150000000000002</v>
      </c>
      <c r="U23" s="20">
        <v>5.21</v>
      </c>
      <c r="V23" s="22">
        <v>0</v>
      </c>
      <c r="W23" s="20">
        <f>1.46+3.68</f>
        <v>5.1400000000000006</v>
      </c>
      <c r="X23" s="20">
        <f>1.23+1.46</f>
        <v>2.69</v>
      </c>
      <c r="Y23" s="20">
        <f>4.14+1.23+1.46</f>
        <v>6.8299999999999992</v>
      </c>
      <c r="Z23" s="20">
        <f>4.14+1.23+1.46</f>
        <v>6.8299999999999992</v>
      </c>
    </row>
    <row r="24" spans="1:26" x14ac:dyDescent="0.25">
      <c r="A24" s="21" t="s">
        <v>28</v>
      </c>
      <c r="B24" s="20">
        <f>2.82+2.13+1.96+4.14+1.23+3.68</f>
        <v>15.959999999999999</v>
      </c>
      <c r="C24" s="20">
        <f>1.34+2.82+2.13+1.96+4.14+1.23+3.68</f>
        <v>17.3</v>
      </c>
      <c r="D24" s="20">
        <f>1.34+2.82+2.13+1.96+4.14+1.23+3.68</f>
        <v>17.3</v>
      </c>
      <c r="E24" s="20">
        <f>3.68+1.23+4.14+1.96+2.13+2.82+1.34+3.58+0.98</f>
        <v>21.860000000000003</v>
      </c>
      <c r="F24" s="20">
        <f>0.405+0.272+2.07+0.98+0.36+3.58+1.34+2.82+2.13+1.96+4.14+1.23+3.68</f>
        <v>24.967000000000002</v>
      </c>
      <c r="G24" s="20">
        <f>0.405+0.272+2.07+0.98+0.36+3.58+1.34+2.82+2.13+1.96+4.14+1.23+3.68</f>
        <v>24.967000000000002</v>
      </c>
      <c r="H24" s="20">
        <f>3.89+2.97+3.22+0.464+0.272+2.07+0.98+0.36+3.58+1.34+2.82+2.13+1.96+4.14+1.23+3.68</f>
        <v>35.106000000000002</v>
      </c>
      <c r="I24" s="20">
        <f>3.68+1.23+4.14+1.96+2.13+2.82+1.34+3.58+0.98+0.36+2.07+0.272+0.464+3.22+2.97</f>
        <v>31.215999999999998</v>
      </c>
      <c r="J24" s="20">
        <f>3.68+1.23+4.14+1.96+2.13+2.82+1.34+3.58+0.98+0.36+2.07+0.272+0.464+3.22</f>
        <v>28.245999999999999</v>
      </c>
      <c r="K24" s="20">
        <f>3.68+1.23+4.14+1.96+2.13+2.82+1.34+3.58+0.98+0.36+2.07+0.879</f>
        <v>25.169000000000004</v>
      </c>
      <c r="L24" s="20">
        <f>3.68+1.23+4.14+1.96+2.13+2.82+1.34+3.58+0.98+0.36+2.07+0.272+0.464+3.8</f>
        <v>28.826000000000001</v>
      </c>
      <c r="M24" s="20">
        <f>1.38+3.06+0.203+0.684+0.455+1.39+0.876+5.21+1.46+3.68</f>
        <v>18.398</v>
      </c>
      <c r="N24" s="20">
        <f>3.68+1.46+5.21+0.876+1.39+0.455+0.684+0.203+3.06</f>
        <v>17.018000000000001</v>
      </c>
      <c r="O24" s="20">
        <f>3.68+1.46+5.21+0.876+1.39+0.455+0.684+0.203+3.06</f>
        <v>17.018000000000001</v>
      </c>
      <c r="P24" s="20">
        <f>3.68+1.46+5.21+0.876+1.39+0.455+0.684+0.203+3.06</f>
        <v>17.018000000000001</v>
      </c>
      <c r="Q24" s="20">
        <f>3.68+1.46+5.21+0.876+1.39+0.455+0.684+0.203+3.06+3.1</f>
        <v>20.118000000000002</v>
      </c>
      <c r="R24" s="20">
        <f>3.68+1.46+5.21+0.876+2.05+9.89</f>
        <v>23.166</v>
      </c>
      <c r="S24" s="20">
        <f>3.68+1.46+5.21+0.876+1.39+0.455</f>
        <v>13.071000000000002</v>
      </c>
      <c r="T24" s="20">
        <f>0.684+0.455+1.39+0.876+5.21+1.46+3.68</f>
        <v>13.754999999999999</v>
      </c>
      <c r="U24" s="20">
        <f>3.68+1.46+5.21</f>
        <v>10.350000000000001</v>
      </c>
      <c r="V24" s="20">
        <f>1.46+3.68</f>
        <v>5.1400000000000006</v>
      </c>
      <c r="W24" s="22">
        <v>0</v>
      </c>
      <c r="X24" s="24">
        <f>1.23+3.68</f>
        <v>4.91</v>
      </c>
      <c r="Y24" s="20">
        <f>4.14+1.23+3.68</f>
        <v>9.0499999999999989</v>
      </c>
      <c r="Z24" s="20">
        <f>4.14+1.23+3.68</f>
        <v>9.0499999999999989</v>
      </c>
    </row>
    <row r="25" spans="1:26" x14ac:dyDescent="0.25">
      <c r="A25" s="21" t="s">
        <v>1</v>
      </c>
      <c r="B25" s="20">
        <f>2.82+2.13+1.96+4.14</f>
        <v>11.049999999999999</v>
      </c>
      <c r="C25" s="20">
        <f>1.34+2.82+2.13+1.96+4.14</f>
        <v>12.39</v>
      </c>
      <c r="D25" s="20">
        <f>1.34+2.82+2.13+1.96+4.14</f>
        <v>12.39</v>
      </c>
      <c r="E25" s="20">
        <f>4.14+1.96+2.13+2.82+1.34+3.58+0.98</f>
        <v>16.95</v>
      </c>
      <c r="F25" s="20">
        <f>0.405+0.272+2.07+0.98+0.36+3.58+1.34+2.82+2.13+1.96+4.14</f>
        <v>20.057000000000002</v>
      </c>
      <c r="G25" s="20">
        <f>0.405+0.272+2.07+0.98+0.36+3.58+1.34+2.82+2.13+1.96+4.14</f>
        <v>20.057000000000002</v>
      </c>
      <c r="H25" s="20">
        <f>3.89+2.97+3.22+0.464+0.272+2.07+0.98+0.36+3.58+1.34+2.82+2.13+1.96+4.14</f>
        <v>30.196000000000002</v>
      </c>
      <c r="I25" s="20">
        <f>2.97+3.22+0.464+0.272+2.07+0.98+0.36+3.58+1.34+2.82+2.13+1.96+4.14</f>
        <v>26.306000000000001</v>
      </c>
      <c r="J25" s="20">
        <f>3.22+0.464+0.272+2.07+0.98+0.36+3.58+1.34+2.82+2.13+1.96+4.14</f>
        <v>23.336000000000002</v>
      </c>
      <c r="K25" s="20">
        <f>4.14+1.96+2.13+2.82+1.34+3.58+0.98+0.36+2.07+0.879</f>
        <v>20.259</v>
      </c>
      <c r="L25" s="20">
        <f>4.14+1.96+2.13+2.82+1.34+3.58+0.98+0.36+2.07+0.272+0.464+3.8</f>
        <v>23.915999999999997</v>
      </c>
      <c r="M25" s="20">
        <f>1.38+3.06+0.203+0.684+0.455+1.39+0.876+5.21+1.46+1.23</f>
        <v>15.948</v>
      </c>
      <c r="N25" s="20">
        <f>1.23+1.46+5.21+0.876+1.39+0.455+0.684+0.203+3.06</f>
        <v>14.568</v>
      </c>
      <c r="O25" s="20">
        <f>1.23+1.46+5.21+0.876+1.39+0.455+0.684+0.203+3.06</f>
        <v>14.568</v>
      </c>
      <c r="P25" s="20">
        <f>1.23+1.46+5.21+0.876+1.39+0.455+0.684+0.203+3.06</f>
        <v>14.568</v>
      </c>
      <c r="Q25" s="20">
        <f>1.23+1.46+5.21+0.876+1.39+0.455+0.684+0.203+3.06+3.1</f>
        <v>17.667999999999999</v>
      </c>
      <c r="R25" s="20">
        <f>1.23+1.46+5.21+0.876+2.05+9.89</f>
        <v>20.716000000000001</v>
      </c>
      <c r="S25" s="20">
        <f>1.23+1.46+5.21+0.876+1.39+0.455</f>
        <v>10.621</v>
      </c>
      <c r="T25" s="20">
        <f>0.684+0.455+1.39+0.876+5.21+1.46+1.23</f>
        <v>11.305</v>
      </c>
      <c r="U25" s="20">
        <f>1.23+1.46+5.21</f>
        <v>7.9</v>
      </c>
      <c r="V25" s="20">
        <f>1.23+1.46</f>
        <v>2.69</v>
      </c>
      <c r="W25" s="24">
        <f>1.23+3.68</f>
        <v>4.91</v>
      </c>
      <c r="X25" s="22">
        <v>0</v>
      </c>
      <c r="Y25" s="24">
        <v>4.1399999999999997</v>
      </c>
      <c r="Z25" s="24">
        <v>4.1399999999999997</v>
      </c>
    </row>
    <row r="26" spans="1:26" x14ac:dyDescent="0.25">
      <c r="A26" s="21" t="s">
        <v>27</v>
      </c>
      <c r="B26" s="24">
        <f>2.82+2.13+1.96</f>
        <v>6.9099999999999993</v>
      </c>
      <c r="C26" s="24">
        <f>1.34+2.82+2.13+1.96</f>
        <v>8.25</v>
      </c>
      <c r="D26" s="24">
        <f>1.34+2.82+2.13+1.96</f>
        <v>8.25</v>
      </c>
      <c r="E26" s="20">
        <f>1.96+2.13+2.82+1.34+3.58+0.98</f>
        <v>12.81</v>
      </c>
      <c r="F26" s="20">
        <f>0.405+0.272+2.07+0.98+0.36+3.58+1.34+2.82+2.13+1.96</f>
        <v>15.917000000000002</v>
      </c>
      <c r="G26" s="20">
        <f>0.405+0.272+2.07+0.98+0.36+3.58+1.34+2.82+2.13+1.96</f>
        <v>15.917000000000002</v>
      </c>
      <c r="H26" s="20">
        <f>3.89+2.97+3.22+0.464+0.272+2.07+0.98+0.36+3.58+1.34+2.82+2.13+1.96</f>
        <v>26.056000000000001</v>
      </c>
      <c r="I26" s="20">
        <f>2.97+3.22+0.464+0.272+2.07+0.98+0.36+3.58+1.34+2.82+2.13+1.96</f>
        <v>22.166</v>
      </c>
      <c r="J26" s="20">
        <f>3.22+0.464+0.272+2.07+0.98+0.36+3.58+1.34+2.82+2.13+1.96</f>
        <v>19.196000000000002</v>
      </c>
      <c r="K26" s="20">
        <f>1.96+2.13+2.82+1.34+3.58+0.98+0.36+2.07+0.879</f>
        <v>16.119</v>
      </c>
      <c r="L26" s="20">
        <f>1.96+2.13+2.82+1.34+3.58+0.98+0.36+2.07+0.272+0.464+3.8</f>
        <v>19.776</v>
      </c>
      <c r="M26" s="20">
        <f>1.96+2.13+2.82+1.34+2.57+0.455+0.684+0.203+3.06+1.38</f>
        <v>16.602</v>
      </c>
      <c r="N26" s="20">
        <f t="shared" ref="N26:P27" si="16">1.96+2.13+2.82+1.34+2.57+0.455+0.684+0.203+3.06</f>
        <v>15.222</v>
      </c>
      <c r="O26" s="20">
        <f t="shared" si="16"/>
        <v>15.222</v>
      </c>
      <c r="P26" s="20">
        <f t="shared" si="16"/>
        <v>15.222</v>
      </c>
      <c r="Q26" s="20">
        <f>1.96+2.13+2.82+1.34+2.57+0.455+0.684+0.203+3.06+3.1</f>
        <v>18.321999999999999</v>
      </c>
      <c r="R26" s="20">
        <f>1.96+2.13+2.82+1.34+2.57+0.455+0.684+0.203+3.06+3.1+3.72</f>
        <v>22.041999999999998</v>
      </c>
      <c r="S26" s="20">
        <f>1.96+2.13+2.82+1.34+2.57+0.455</f>
        <v>11.275</v>
      </c>
      <c r="T26" s="20">
        <f>1.96+2.13+2.82+1.34+2.57+0.455+0.684</f>
        <v>11.959</v>
      </c>
      <c r="U26" s="20">
        <f>4.14+1.23+1.46+5.21</f>
        <v>12.04</v>
      </c>
      <c r="V26" s="20">
        <f>4.14+1.23+1.46</f>
        <v>6.8299999999999992</v>
      </c>
      <c r="W26" s="20">
        <f>4.14+1.23+3.68</f>
        <v>9.0499999999999989</v>
      </c>
      <c r="X26" s="24">
        <v>4.1399999999999997</v>
      </c>
      <c r="Y26" s="22">
        <v>0</v>
      </c>
      <c r="Z26" s="22">
        <v>0</v>
      </c>
    </row>
    <row r="27" spans="1:26" x14ac:dyDescent="0.25">
      <c r="A27" s="21" t="s">
        <v>4</v>
      </c>
      <c r="B27" s="24">
        <f>2.82+2.13+1.96</f>
        <v>6.9099999999999993</v>
      </c>
      <c r="C27" s="24">
        <f>1.34+2.82+2.13+1.96</f>
        <v>8.25</v>
      </c>
      <c r="D27" s="24">
        <f>1.34+2.82+2.13+1.96</f>
        <v>8.25</v>
      </c>
      <c r="E27" s="20">
        <f>1.96+2.13+2.82+1.34+3.58+0.98</f>
        <v>12.81</v>
      </c>
      <c r="F27" s="20">
        <f>0.405+0.272+2.07+0.98+0.36+3.58+1.34+2.82+2.13+1.96</f>
        <v>15.917000000000002</v>
      </c>
      <c r="G27" s="20">
        <f>0.405+0.272+2.07+0.98+0.36+3.58+1.34+2.82+2.13+1.96</f>
        <v>15.917000000000002</v>
      </c>
      <c r="H27" s="20">
        <f>3.89+2.97+3.22+0.464+0.272+2.07+0.98+0.36+3.58+1.34+2.82+2.13+1.96</f>
        <v>26.056000000000001</v>
      </c>
      <c r="I27" s="20">
        <f>2.97+3.22+0.464+0.272+2.07+0.98+0.36+3.58+1.34+2.82+2.13+1.96</f>
        <v>22.166</v>
      </c>
      <c r="J27" s="20">
        <f>3.22+0.464+0.272+2.07+0.98+0.36+3.58+1.34+2.82+2.13+1.96</f>
        <v>19.196000000000002</v>
      </c>
      <c r="K27" s="20">
        <f>1.96+2.13+2.82+1.34+3.58+0.98+0.36+2.07+0.879</f>
        <v>16.119</v>
      </c>
      <c r="L27" s="20">
        <f>1.96+2.13+2.82+1.34+3.58+0.98+0.36+2.07+0.272+0.464+3.8</f>
        <v>19.776</v>
      </c>
      <c r="M27" s="20">
        <f>1.96+2.13+2.82+1.34+2.57+0.455+0.684+0.203+3.06+1.38</f>
        <v>16.602</v>
      </c>
      <c r="N27" s="20">
        <f t="shared" si="16"/>
        <v>15.222</v>
      </c>
      <c r="O27" s="20">
        <f t="shared" si="16"/>
        <v>15.222</v>
      </c>
      <c r="P27" s="20">
        <f t="shared" si="16"/>
        <v>15.222</v>
      </c>
      <c r="Q27" s="20">
        <f>1.96+2.13+2.82+1.34+2.57+0.455+0.684+0.203+3.06+3.1</f>
        <v>18.321999999999999</v>
      </c>
      <c r="R27" s="20">
        <f>1.96+2.13+2.82+1.34+2.57+0.455+0.684+0.203+3.06+3.1+3.72</f>
        <v>22.041999999999998</v>
      </c>
      <c r="S27" s="20">
        <f>1.96+2.13+2.82+1.34+2.57+0.455</f>
        <v>11.275</v>
      </c>
      <c r="T27" s="20">
        <f>1.96+2.13+2.82+1.34+2.57+0.455+0.684</f>
        <v>11.959</v>
      </c>
      <c r="U27" s="20">
        <f>4.14+1.23+1.46+5.21</f>
        <v>12.04</v>
      </c>
      <c r="V27" s="20">
        <f>4.14+1.23+1.46</f>
        <v>6.8299999999999992</v>
      </c>
      <c r="W27" s="20">
        <f>4.14+1.23+3.68</f>
        <v>9.0499999999999989</v>
      </c>
      <c r="X27" s="24">
        <v>4.1399999999999997</v>
      </c>
      <c r="Y27" s="22">
        <v>0</v>
      </c>
      <c r="Z27" s="22">
        <v>0</v>
      </c>
    </row>
  </sheetData>
  <sheetProtection algorithmName="SHA-512" hashValue="qHAghezAgCWGg18zS/HkHkSVL2EE3ipxAwpUXlrBZB8XTZhMcrSiBYQpMYmLYtmOW+t0e87tMxSOrMSoowleIg==" saltValue="tFncxOVmth4syEOf69octg==" spinCount="100000" sheet="1" objects="1" scenarios="1"/>
  <mergeCells count="1">
    <mergeCell ref="A1:Z1"/>
  </mergeCells>
  <pageMargins left="0.25" right="0.25" top="0.75" bottom="0.75" header="0.3" footer="0.3"/>
  <pageSetup paperSize="8" scale="5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0E3D3-4E4D-4371-BACB-E0B44595692B}">
  <sheetPr>
    <pageSetUpPr fitToPage="1"/>
  </sheetPr>
  <dimension ref="A1:Z27"/>
  <sheetViews>
    <sheetView zoomScale="48" zoomScaleNormal="48" workbookViewId="0">
      <selection activeCell="G37" sqref="G37"/>
    </sheetView>
  </sheetViews>
  <sheetFormatPr baseColWidth="10" defaultRowHeight="15" x14ac:dyDescent="0.25"/>
  <cols>
    <col min="1" max="1" width="35.42578125" customWidth="1"/>
    <col min="2" max="26" width="13.7109375" customWidth="1"/>
  </cols>
  <sheetData>
    <row r="1" spans="1:26" ht="21" x14ac:dyDescent="0.25">
      <c r="A1" s="32" t="s">
        <v>42</v>
      </c>
      <c r="B1" s="32"/>
      <c r="C1" s="32"/>
      <c r="D1" s="32"/>
      <c r="E1" s="32"/>
      <c r="F1" s="32"/>
      <c r="G1" s="32"/>
      <c r="H1" s="32"/>
      <c r="I1" s="32"/>
      <c r="J1" s="32"/>
      <c r="K1" s="32"/>
      <c r="L1" s="32"/>
      <c r="M1" s="32"/>
      <c r="N1" s="32"/>
      <c r="O1" s="32"/>
      <c r="P1" s="32"/>
      <c r="Q1" s="32"/>
      <c r="R1" s="32"/>
      <c r="S1" s="32"/>
      <c r="T1" s="32"/>
      <c r="U1" s="32"/>
      <c r="V1" s="32"/>
      <c r="W1" s="32"/>
      <c r="X1" s="32"/>
      <c r="Y1" s="32"/>
      <c r="Z1" s="32"/>
    </row>
    <row r="2" spans="1:26" ht="60" x14ac:dyDescent="0.25">
      <c r="A2" s="14" t="s">
        <v>14</v>
      </c>
      <c r="B2" s="15" t="s">
        <v>31</v>
      </c>
      <c r="C2" s="15" t="s">
        <v>6</v>
      </c>
      <c r="D2" s="15" t="s">
        <v>29</v>
      </c>
      <c r="E2" s="15" t="s">
        <v>18</v>
      </c>
      <c r="F2" s="15" t="s">
        <v>9</v>
      </c>
      <c r="G2" s="15" t="s">
        <v>20</v>
      </c>
      <c r="H2" s="15" t="s">
        <v>21</v>
      </c>
      <c r="I2" s="15" t="s">
        <v>7</v>
      </c>
      <c r="J2" s="15" t="s">
        <v>23</v>
      </c>
      <c r="K2" s="15" t="s">
        <v>22</v>
      </c>
      <c r="L2" s="15" t="s">
        <v>19</v>
      </c>
      <c r="M2" s="15" t="s">
        <v>2</v>
      </c>
      <c r="N2" s="15" t="s">
        <v>24</v>
      </c>
      <c r="O2" s="15" t="s">
        <v>8</v>
      </c>
      <c r="P2" s="15" t="s">
        <v>30</v>
      </c>
      <c r="Q2" s="15" t="s">
        <v>0</v>
      </c>
      <c r="R2" s="15" t="s">
        <v>3</v>
      </c>
      <c r="S2" s="15" t="s">
        <v>25</v>
      </c>
      <c r="T2" s="15" t="s">
        <v>5</v>
      </c>
      <c r="U2" s="15" t="s">
        <v>17</v>
      </c>
      <c r="V2" s="15" t="s">
        <v>26</v>
      </c>
      <c r="W2" s="15" t="s">
        <v>28</v>
      </c>
      <c r="X2" s="15" t="s">
        <v>1</v>
      </c>
      <c r="Y2" s="15" t="s">
        <v>27</v>
      </c>
      <c r="Z2" s="15" t="s">
        <v>4</v>
      </c>
    </row>
    <row r="3" spans="1:26" ht="45" x14ac:dyDescent="0.25">
      <c r="A3" s="16" t="s">
        <v>31</v>
      </c>
      <c r="B3" s="17">
        <v>0</v>
      </c>
      <c r="C3" s="18">
        <v>1.37</v>
      </c>
      <c r="D3" s="18">
        <v>1.37</v>
      </c>
      <c r="E3" s="19">
        <f>1.37+3.58+0.98</f>
        <v>5.93</v>
      </c>
      <c r="F3" s="20">
        <f>3.58+0.98+0.36+2.07+0.272+0.405</f>
        <v>7.6670000000000007</v>
      </c>
      <c r="G3" s="20">
        <f>3.58+0.98+0.36+2.07+1.34</f>
        <v>8.33</v>
      </c>
      <c r="H3" s="20">
        <f>3.58+0.98+0.36+2.07+0.272+0.405+5.79+1.34</f>
        <v>14.797000000000001</v>
      </c>
      <c r="I3" s="20">
        <f>3.58+0.98+0.36+2.07+0.272+0.405+5.79+3.89+1.34</f>
        <v>18.687000000000001</v>
      </c>
      <c r="J3" s="20">
        <f>3.58+0.98+0.36+2.07+0.272+0.405+5.79+3.89+2.97+1.34</f>
        <v>21.657</v>
      </c>
      <c r="K3" s="20">
        <f>3.58+0.98+0.36+2.07+0.879+1.34</f>
        <v>9.2089999999999996</v>
      </c>
      <c r="L3" s="20">
        <f>3.58+0.98+0.36+2.07+2.6+1.34</f>
        <v>10.93</v>
      </c>
      <c r="M3" s="20">
        <f>2.57+0.455+0.684+0.45+3.06+1.38+1.34</f>
        <v>9.9390000000000001</v>
      </c>
      <c r="N3" s="20">
        <f>2.57+0.455+0.684+0.45+3.06+1.34</f>
        <v>8.5589999999999993</v>
      </c>
      <c r="O3" s="20">
        <f>2.57+0.455+0.684+0.45+3.06+1.34</f>
        <v>8.5589999999999993</v>
      </c>
      <c r="P3" s="20">
        <f>2.57+0.455+0.684+0.45+3.06+1.34</f>
        <v>8.5589999999999993</v>
      </c>
      <c r="Q3" s="20">
        <f>2.57+0.455+0.684+0.45+3.06+3.1+1.34</f>
        <v>11.658999999999999</v>
      </c>
      <c r="R3" s="20">
        <f>1.34+2.57+1.39+2.05+9.89</f>
        <v>17.240000000000002</v>
      </c>
      <c r="S3" s="20">
        <f>2.57+0.455+1.34</f>
        <v>4.3650000000000002</v>
      </c>
      <c r="T3" s="20">
        <f>1.34+2.57+0.455+0.684</f>
        <v>5.0490000000000004</v>
      </c>
      <c r="U3" s="20">
        <f>2.57+1.39+0.876+1.34</f>
        <v>6.1760000000000002</v>
      </c>
      <c r="V3" s="20">
        <f>2.57+1.39+0.876+5.21+1.34</f>
        <v>11.385999999999999</v>
      </c>
      <c r="W3" s="20">
        <f>2.82+2.13+1.96+4.14+1.23+3.68</f>
        <v>15.959999999999999</v>
      </c>
      <c r="X3" s="20">
        <f>2.82+2.13+1.96+4.14</f>
        <v>11.049999999999999</v>
      </c>
      <c r="Y3" s="20">
        <f>2.82+2.13+1.96</f>
        <v>6.9099999999999993</v>
      </c>
      <c r="Z3" s="20">
        <f>2.82+2.13+1.96</f>
        <v>6.9099999999999993</v>
      </c>
    </row>
    <row r="4" spans="1:26" x14ac:dyDescent="0.25">
      <c r="A4" s="21" t="s">
        <v>6</v>
      </c>
      <c r="B4" s="19">
        <v>1.37</v>
      </c>
      <c r="C4" s="22">
        <v>0</v>
      </c>
      <c r="D4" s="22">
        <v>0</v>
      </c>
      <c r="E4" s="20">
        <f>3.58+0.98</f>
        <v>4.5600000000000005</v>
      </c>
      <c r="F4" s="20">
        <f>3.58+0.98+0.36+2.07+0.272+0.405+1.34</f>
        <v>9.0070000000000014</v>
      </c>
      <c r="G4" s="20">
        <f>3.58+0.98+0.36+2.07</f>
        <v>6.99</v>
      </c>
      <c r="H4" s="20">
        <f>3.58+0.98+0.36+2.07+0.272+0.405+5.79</f>
        <v>13.457000000000001</v>
      </c>
      <c r="I4" s="20">
        <f>3.58+0.98+0.36+2.07+0.272+0.405+5.79+3.89</f>
        <v>17.347000000000001</v>
      </c>
      <c r="J4" s="20">
        <f>3.58+0.98+0.36+2.07+0.272+0.405+5.79+3.89+2.97</f>
        <v>20.317</v>
      </c>
      <c r="K4" s="20">
        <f>3.58+0.98+0.36+2.07+0.879</f>
        <v>7.8689999999999998</v>
      </c>
      <c r="L4" s="20">
        <f>3.58+0.98+0.36+2.07+2.6</f>
        <v>9.59</v>
      </c>
      <c r="M4" s="20">
        <f>2.57+0.455+0.684+0.45+3.06+1.38</f>
        <v>8.5990000000000002</v>
      </c>
      <c r="N4" s="20">
        <f t="shared" ref="N4:P5" si="0">2.57+0.455+0.684+0.45+3.06</f>
        <v>7.2189999999999994</v>
      </c>
      <c r="O4" s="20">
        <f t="shared" si="0"/>
        <v>7.2189999999999994</v>
      </c>
      <c r="P4" s="20">
        <f t="shared" si="0"/>
        <v>7.2189999999999994</v>
      </c>
      <c r="Q4" s="20">
        <f>2.57+0.455+0.684+0.45+3.06+3.1</f>
        <v>10.318999999999999</v>
      </c>
      <c r="R4" s="20">
        <f>2.57+1.39+2.05+9.89</f>
        <v>15.9</v>
      </c>
      <c r="S4" s="20">
        <f>2.57+0.455</f>
        <v>3.0249999999999999</v>
      </c>
      <c r="T4" s="20">
        <f>2.57+0.455+0.684</f>
        <v>3.7090000000000001</v>
      </c>
      <c r="U4" s="20">
        <f>2.57+1.39+0.876</f>
        <v>4.8360000000000003</v>
      </c>
      <c r="V4" s="20">
        <f>2.57+1.39+0.876+5.21</f>
        <v>10.045999999999999</v>
      </c>
      <c r="W4" s="20">
        <f>1.34+2.82+2.13+1.96+4.14+1.23+3.68</f>
        <v>17.3</v>
      </c>
      <c r="X4" s="20">
        <f>1.34+2.82+2.13+1.96+4.14</f>
        <v>12.39</v>
      </c>
      <c r="Y4" s="20">
        <f>1.34+2.82+2.13+1.96</f>
        <v>8.25</v>
      </c>
      <c r="Z4" s="20">
        <f>1.34+2.82+2.13+1.96</f>
        <v>8.25</v>
      </c>
    </row>
    <row r="5" spans="1:26" x14ac:dyDescent="0.25">
      <c r="A5" s="21" t="s">
        <v>29</v>
      </c>
      <c r="B5" s="19">
        <v>1.37</v>
      </c>
      <c r="C5" s="22">
        <v>0</v>
      </c>
      <c r="D5" s="22">
        <v>0</v>
      </c>
      <c r="E5" s="20">
        <f>3.58+0.98</f>
        <v>4.5600000000000005</v>
      </c>
      <c r="F5" s="20">
        <f>3.58+0.98+0.36+2.07+0.272+0.405+1.34</f>
        <v>9.0070000000000014</v>
      </c>
      <c r="G5" s="20">
        <f>3.58+0.98+0.36+2.07</f>
        <v>6.99</v>
      </c>
      <c r="H5" s="20">
        <f>3.58+0.98+0.36+2.07+0.272+0.405+5.79</f>
        <v>13.457000000000001</v>
      </c>
      <c r="I5" s="20">
        <f>3.58+0.98+0.36+2.07+0.272+0.405+5.79+3.89</f>
        <v>17.347000000000001</v>
      </c>
      <c r="J5" s="20">
        <f>3.58+0.98+0.36+2.07+0.272+0.405+5.79+3.89+2.97</f>
        <v>20.317</v>
      </c>
      <c r="K5" s="20">
        <f>3.58+0.98+0.36+2.07+0.879</f>
        <v>7.8689999999999998</v>
      </c>
      <c r="L5" s="20">
        <f>3.58+0.98+0.36+2.07+2.6</f>
        <v>9.59</v>
      </c>
      <c r="M5" s="20">
        <f>2.57+0.455+0.684+0.45+3.06+1.38</f>
        <v>8.5990000000000002</v>
      </c>
      <c r="N5" s="20">
        <f t="shared" si="0"/>
        <v>7.2189999999999994</v>
      </c>
      <c r="O5" s="20">
        <f t="shared" si="0"/>
        <v>7.2189999999999994</v>
      </c>
      <c r="P5" s="20">
        <f t="shared" si="0"/>
        <v>7.2189999999999994</v>
      </c>
      <c r="Q5" s="20">
        <f>2.57+0.455+0.684+0.45+3.06+3.1</f>
        <v>10.318999999999999</v>
      </c>
      <c r="R5" s="20">
        <f>2.57+1.39+2.05+9.89</f>
        <v>15.9</v>
      </c>
      <c r="S5" s="20">
        <f>2.57+0.455</f>
        <v>3.0249999999999999</v>
      </c>
      <c r="T5" s="20">
        <f>2.57+0.455+0.684</f>
        <v>3.7090000000000001</v>
      </c>
      <c r="U5" s="20">
        <f>2.57+1.39+0.876</f>
        <v>4.8360000000000003</v>
      </c>
      <c r="V5" s="20">
        <f>2.57+1.39+0.876+5.21</f>
        <v>10.045999999999999</v>
      </c>
      <c r="W5" s="20">
        <f>1.34+2.82+2.13+1.96+4.14+1.23+3.68</f>
        <v>17.3</v>
      </c>
      <c r="X5" s="20">
        <f>1.34+2.82+2.13+1.96+4.14</f>
        <v>12.39</v>
      </c>
      <c r="Y5" s="20">
        <f>1.34+2.82+2.13+1.96</f>
        <v>8.25</v>
      </c>
      <c r="Z5" s="20">
        <f>1.34+2.82+2.13+1.96</f>
        <v>8.25</v>
      </c>
    </row>
    <row r="6" spans="1:26" x14ac:dyDescent="0.25">
      <c r="A6" s="21" t="s">
        <v>18</v>
      </c>
      <c r="B6" s="19">
        <f>1.37+3.58+0.98</f>
        <v>5.93</v>
      </c>
      <c r="C6" s="20">
        <f>3.58+0.98</f>
        <v>4.5600000000000005</v>
      </c>
      <c r="D6" s="20">
        <f>3.58+0.98</f>
        <v>4.5600000000000005</v>
      </c>
      <c r="E6" s="22">
        <v>0</v>
      </c>
      <c r="F6" s="20">
        <f>0.405+0.272+2.07+0.36</f>
        <v>3.1069999999999998</v>
      </c>
      <c r="G6" s="20">
        <f>0.405+0.272+2.07+0.36</f>
        <v>3.1069999999999998</v>
      </c>
      <c r="H6" s="20">
        <f>5.79+0.405+0.272+2.07+0.36</f>
        <v>8.8970000000000002</v>
      </c>
      <c r="I6" s="20">
        <f>3.89+5.79+0.405+0.272+2.07+0.36</f>
        <v>12.786999999999999</v>
      </c>
      <c r="J6" s="20">
        <f>0.36+2.07+0.272+5.79+3.89+2.97</f>
        <v>15.352000000000002</v>
      </c>
      <c r="K6" s="20">
        <f>0.36+2.07+0.879</f>
        <v>3.3089999999999997</v>
      </c>
      <c r="L6" s="20">
        <f>2.6+2.07+0.36</f>
        <v>5.03</v>
      </c>
      <c r="M6" s="20">
        <f>0.388+2.2+0.293+2.6+2.07+0.36</f>
        <v>7.9110000000000005</v>
      </c>
      <c r="N6" s="20">
        <f>1.38+0.388+2.2+0.293+2.6+2.07+0.36</f>
        <v>9.2910000000000004</v>
      </c>
      <c r="O6" s="20">
        <f>1.38+0.388+2.2+0.293+2.6+2.07+0.36</f>
        <v>9.2910000000000004</v>
      </c>
      <c r="P6" s="20">
        <f>1.38+0.388+2.2+0.293+2.6+2.07+0.36</f>
        <v>9.2910000000000004</v>
      </c>
      <c r="Q6" s="20">
        <f>3.1+1.38+0.388+2.2+0.293+2.6+2.07+0.36</f>
        <v>12.391</v>
      </c>
      <c r="R6" s="20">
        <f>3.72+3.1+1.38+0.388+2.2+0.293+2.6+2.07+0.36</f>
        <v>16.111000000000001</v>
      </c>
      <c r="S6" s="20">
        <f>0.684+0.45+3.06+1.38+0.388+2.2+0.293+2.6+2.07+0.36</f>
        <v>13.484999999999998</v>
      </c>
      <c r="T6" s="20">
        <f>3.06+0.2+1.38+0.388+2.2+0.293+2.6+2.07+0.36</f>
        <v>12.551</v>
      </c>
      <c r="U6" s="20">
        <f>0.876+1.39+2.57+3.58+0.98</f>
        <v>9.3960000000000008</v>
      </c>
      <c r="V6" s="20">
        <f>0.98+3.58+2.57+1.39+0.876+5.21</f>
        <v>14.606000000000002</v>
      </c>
      <c r="W6" s="20">
        <f>4.14+1.96+2.13+4.13+3.58+0.98+3.68</f>
        <v>20.599999999999998</v>
      </c>
      <c r="X6" s="20">
        <f>4.14+1.96+2.13+4.13+3.58+0.98</f>
        <v>16.919999999999998</v>
      </c>
      <c r="Y6" s="20">
        <f>1.96+2.13+4.13+3.58+0.98</f>
        <v>12.78</v>
      </c>
      <c r="Z6" s="20">
        <f>1.96+2.13+4.13+3.58+0.98</f>
        <v>12.78</v>
      </c>
    </row>
    <row r="7" spans="1:26" x14ac:dyDescent="0.25">
      <c r="A7" s="21" t="s">
        <v>9</v>
      </c>
      <c r="B7" s="20">
        <f>3.58+0.98+0.36+2.07+0.272+0.405+1.34</f>
        <v>9.0070000000000014</v>
      </c>
      <c r="C7" s="20">
        <f>3.58+0.98+0.36+2.07+0.272+0.405</f>
        <v>7.6670000000000007</v>
      </c>
      <c r="D7" s="20">
        <f>3.58+0.98+0.36+2.07+0.272+0.405</f>
        <v>7.6670000000000007</v>
      </c>
      <c r="E7" s="20">
        <f>0.405+0.272+2.07+0.36</f>
        <v>3.1069999999999998</v>
      </c>
      <c r="F7" s="22">
        <v>0</v>
      </c>
      <c r="G7" s="22">
        <v>0</v>
      </c>
      <c r="H7" s="20">
        <v>5.79</v>
      </c>
      <c r="I7" s="20">
        <f>3.89+5.79</f>
        <v>9.68</v>
      </c>
      <c r="J7" s="20">
        <f>2.97+3.89+5.79</f>
        <v>12.65</v>
      </c>
      <c r="K7" s="20">
        <f>0.879+0.272+0.405</f>
        <v>1.556</v>
      </c>
      <c r="L7" s="20">
        <f>0.405+0.272+2.6</f>
        <v>3.2770000000000001</v>
      </c>
      <c r="M7" s="20">
        <f>0.388+2.2+0.293+1.81+0.879+0.272+0.405</f>
        <v>6.2470000000000008</v>
      </c>
      <c r="N7" s="20">
        <f t="shared" ref="N7:P8" si="1">0.405+0.272+2.6+0.293+2.2+0.388+1.38</f>
        <v>7.5380000000000003</v>
      </c>
      <c r="O7" s="20">
        <f t="shared" si="1"/>
        <v>7.5380000000000003</v>
      </c>
      <c r="P7" s="20">
        <f t="shared" si="1"/>
        <v>7.5380000000000003</v>
      </c>
      <c r="Q7" s="20">
        <f>0.405+0.272+2.6+0.293+2.2+0.388+1.38+3.1</f>
        <v>10.638</v>
      </c>
      <c r="R7" s="20">
        <f>3.72+3.1+1.38+0.388+2.2+0.293+1.81+0.879+0.272+0.405</f>
        <v>14.446999999999999</v>
      </c>
      <c r="S7" s="20">
        <f>0.405+0.272+2.07+0.36+0.98+3.58+2.57+0.455</f>
        <v>10.692</v>
      </c>
      <c r="T7" s="20">
        <f>0.405+0.272+2.07+0.36+0.98+3.58+2.57+0.455+0.684</f>
        <v>11.375999999999999</v>
      </c>
      <c r="U7" s="23">
        <f>0.405+0.272+2.07+0.36+0.98+3.58+2.57+1.39+0.876</f>
        <v>12.503</v>
      </c>
      <c r="V7" s="23">
        <f>0.405+0.272+2.07+0.36+0.98+3.58+2.57+1.39+0.876+5.21</f>
        <v>17.713000000000001</v>
      </c>
      <c r="W7" s="20">
        <f>0.405+0.272+2.07+0.36+0.98+3.58+1.34+2.82+2.13+1.96+4.14+1.23+3.68</f>
        <v>24.967000000000002</v>
      </c>
      <c r="X7" s="20">
        <f>0.405+0.272+2.07+0.36+0.98+3.58+1.34+2.82+2.13+1.96+4.14</f>
        <v>20.057000000000002</v>
      </c>
      <c r="Y7" s="20">
        <f>0.405+0.272+2.07+0.36+0.98+3.58+1.34+2.82+2.13+1.96</f>
        <v>15.917000000000002</v>
      </c>
      <c r="Z7" s="20">
        <f>0.405+0.272+2.07+0.36+0.98+3.58+1.34+2.82+2.13+1.96</f>
        <v>15.917000000000002</v>
      </c>
    </row>
    <row r="8" spans="1:26" x14ac:dyDescent="0.25">
      <c r="A8" s="21" t="s">
        <v>20</v>
      </c>
      <c r="B8" s="20">
        <f>3.58+0.98+0.36+2.07+0.272+0.405+1.34</f>
        <v>9.0070000000000014</v>
      </c>
      <c r="C8" s="20">
        <f>3.58+0.98+0.36+2.07+0.272+0.405</f>
        <v>7.6670000000000007</v>
      </c>
      <c r="D8" s="20">
        <f>3.58+0.98+0.36+2.07+0.272+0.405</f>
        <v>7.6670000000000007</v>
      </c>
      <c r="E8" s="20">
        <f>0.405+0.272+2.07+0.36</f>
        <v>3.1069999999999998</v>
      </c>
      <c r="F8" s="22">
        <v>0</v>
      </c>
      <c r="G8" s="22">
        <v>0</v>
      </c>
      <c r="H8" s="20">
        <v>5.79</v>
      </c>
      <c r="I8" s="20">
        <f>3.89+5.79</f>
        <v>9.68</v>
      </c>
      <c r="J8" s="20">
        <f>2.97+3.89+5.79</f>
        <v>12.65</v>
      </c>
      <c r="K8" s="20">
        <f>0.879+0.272+0.405</f>
        <v>1.556</v>
      </c>
      <c r="L8" s="20">
        <f>0.405+0.272+2.6</f>
        <v>3.2770000000000001</v>
      </c>
      <c r="M8" s="20">
        <f>0.388+2.2+0.293+1.81+0.879+0.272+0.405</f>
        <v>6.2470000000000008</v>
      </c>
      <c r="N8" s="20">
        <f t="shared" si="1"/>
        <v>7.5380000000000003</v>
      </c>
      <c r="O8" s="20">
        <f t="shared" si="1"/>
        <v>7.5380000000000003</v>
      </c>
      <c r="P8" s="20">
        <f t="shared" si="1"/>
        <v>7.5380000000000003</v>
      </c>
      <c r="Q8" s="20">
        <f>0.405+0.272+2.6+0.293+2.2+0.388+1.38+3.1</f>
        <v>10.638</v>
      </c>
      <c r="R8" s="20">
        <f>3.72+3.1+1.38+0.388+2.2+0.293+1.81+0.879+0.272+0.405</f>
        <v>14.446999999999999</v>
      </c>
      <c r="S8" s="20">
        <f>0.405+0.272+2.07+0.36+0.98+3.58+2.57+0.455</f>
        <v>10.692</v>
      </c>
      <c r="T8" s="20">
        <f>0.405+0.272+2.07+0.36+0.98+3.58+2.57+0.455+0.684</f>
        <v>11.375999999999999</v>
      </c>
      <c r="U8" s="23">
        <f>0.405+0.272+2.07+0.36+0.98+3.58+2.57+1.39+0.876</f>
        <v>12.503</v>
      </c>
      <c r="V8" s="23">
        <f>0.405+0.272+2.07+0.36+0.98+3.58+2.57+1.39+0.876+5.21</f>
        <v>17.713000000000001</v>
      </c>
      <c r="W8" s="20">
        <f>0.405+0.272+2.07+0.36+0.98+3.58+1.34+2.82+2.13+1.96+4.14+1.23+3.68</f>
        <v>24.967000000000002</v>
      </c>
      <c r="X8" s="20">
        <f>0.405+0.272+2.07+0.36+0.98+3.58+1.34+2.82+2.13+1.96+4.14</f>
        <v>20.057000000000002</v>
      </c>
      <c r="Y8" s="20">
        <f>0.405+0.272+2.07+0.36+0.98+3.58+1.34+2.82+2.13+1.96</f>
        <v>15.917000000000002</v>
      </c>
      <c r="Z8" s="20">
        <f>0.405+0.272+2.07+0.36+0.98+3.58+1.34+2.82+2.13+1.96</f>
        <v>15.917000000000002</v>
      </c>
    </row>
    <row r="9" spans="1:26" x14ac:dyDescent="0.25">
      <c r="A9" s="21" t="s">
        <v>21</v>
      </c>
      <c r="B9" s="20">
        <f>3.58+0.98+0.36+2.07+0.272+0.405+5.79+1.34</f>
        <v>14.797000000000001</v>
      </c>
      <c r="C9" s="20">
        <f>3.58+0.98+0.36+2.07+0.272+0.405+5.79</f>
        <v>13.457000000000001</v>
      </c>
      <c r="D9" s="20">
        <f>3.58+0.98+0.36+2.07+0.272+0.405+5.79</f>
        <v>13.457000000000001</v>
      </c>
      <c r="E9" s="20">
        <f>5.79+0.405+0.272+2.07+0.36</f>
        <v>8.8970000000000002</v>
      </c>
      <c r="F9" s="20">
        <v>5.79</v>
      </c>
      <c r="G9" s="20">
        <v>5.79</v>
      </c>
      <c r="H9" s="22">
        <v>0</v>
      </c>
      <c r="I9" s="20">
        <v>3.89</v>
      </c>
      <c r="J9" s="20">
        <f>3.89+2.97</f>
        <v>6.86</v>
      </c>
      <c r="K9" s="20">
        <f>5.79+0.405+0.272+0.879</f>
        <v>7.3460000000000001</v>
      </c>
      <c r="L9" s="20">
        <f>5.79+0.405+0.272+2.6</f>
        <v>9.0670000000000002</v>
      </c>
      <c r="M9" s="20">
        <f>0.388+2.2+0.293+2.6+0.272+0.405+5.79</f>
        <v>11.948</v>
      </c>
      <c r="N9" s="20">
        <f>1.38+0.388+2.2+0.293+2.6+0.272+0.405+5.79</f>
        <v>13.328000000000001</v>
      </c>
      <c r="O9" s="20">
        <f>1.38+0.388+2.2+0.293+2.6+0.272+0.405+5.79</f>
        <v>13.328000000000001</v>
      </c>
      <c r="P9" s="20">
        <f>1.38+0.388+2.2+0.293+2.6+0.272+0.405+5.79</f>
        <v>13.328000000000001</v>
      </c>
      <c r="Q9" s="20">
        <f>3.1+1.38+0.388+2.2+0.293+2.6+0.272+0.405+5.79</f>
        <v>16.428000000000001</v>
      </c>
      <c r="R9" s="20">
        <f>3.72+3.1+1.38+0.388+2.2+0.293+2.6+0.272+0.405+5.79</f>
        <v>20.148</v>
      </c>
      <c r="S9" s="20">
        <f>0.684+0.45+3.06+1.38+0.388+2.2+0.293+2.6+0.272+0.405+5.79</f>
        <v>17.521999999999998</v>
      </c>
      <c r="T9" s="20">
        <f>3.06+0.2+1.38+0.388+2.2+0.293+2.6+0.272+0.405+5.79</f>
        <v>16.588000000000001</v>
      </c>
      <c r="U9" s="20">
        <f>5.79+0.405+0.272+2.07+0.36+0.98+3.58+2.57+1.39+0.876</f>
        <v>18.293000000000003</v>
      </c>
      <c r="V9" s="20">
        <f>5.79+0.405+0.272+2.07+0.36+0.98+3.58+2.57+1.39+0.876+5.21</f>
        <v>23.503000000000004</v>
      </c>
      <c r="W9" s="20">
        <f>4.14+1.96+2.13+4.13+3.58+0.98+0.36+2.07+0.272+0.405+5.79+3.68</f>
        <v>29.496999999999996</v>
      </c>
      <c r="X9" s="20">
        <f>4.14+1.96+2.13+4.13+3.58+0.98+0.36+2.07+0.272+0.405+5.79</f>
        <v>25.816999999999997</v>
      </c>
      <c r="Y9" s="20">
        <f>1.96+2.13+4.13+3.58+0.98+0.36+2.07+0.272+0.405+5.79</f>
        <v>21.677</v>
      </c>
      <c r="Z9" s="20">
        <f>1.96+2.13+4.13+3.58+0.98+0.36+2.07+0.272+0.405+5.79</f>
        <v>21.677</v>
      </c>
    </row>
    <row r="10" spans="1:26" x14ac:dyDescent="0.25">
      <c r="A10" s="21" t="s">
        <v>7</v>
      </c>
      <c r="B10" s="20">
        <f>3.58+0.98+0.36+2.07+0.272+0.405+5.79+3.89+1.34</f>
        <v>18.687000000000001</v>
      </c>
      <c r="C10" s="20">
        <f>3.58+0.98+0.36+2.07+0.272+0.405+5.79+3.89</f>
        <v>17.347000000000001</v>
      </c>
      <c r="D10" s="20">
        <f>3.58+0.98+0.36+2.07+0.272+0.405+5.79+3.89</f>
        <v>17.347000000000001</v>
      </c>
      <c r="E10" s="20">
        <f>3.89+5.79+0.405+0.272+2.07+0.36</f>
        <v>12.786999999999999</v>
      </c>
      <c r="F10" s="20">
        <f>3.89+5.79</f>
        <v>9.68</v>
      </c>
      <c r="G10" s="20">
        <f>3.89+5.79</f>
        <v>9.68</v>
      </c>
      <c r="H10" s="20">
        <v>3.89</v>
      </c>
      <c r="I10" s="22">
        <v>0</v>
      </c>
      <c r="J10" s="20">
        <f>2.97</f>
        <v>2.97</v>
      </c>
      <c r="K10" s="20">
        <f>3.89+5.79+0.405+0.272+0.879</f>
        <v>11.235999999999999</v>
      </c>
      <c r="L10" s="20">
        <f>3.89+5.79+0.405+0.272+2.6</f>
        <v>12.956999999999999</v>
      </c>
      <c r="M10" s="20">
        <f>3.89+5.79+0.405+0.272+0.879+1.81+0.293+2.2+0.388</f>
        <v>15.926999999999998</v>
      </c>
      <c r="N10" s="20">
        <f>3.89+5.79+0.405+0.272+2.6+0.293+2.2+0.388+1.38</f>
        <v>17.218</v>
      </c>
      <c r="O10" s="20">
        <f>3.89+5.79+0.405+0.272+2.6+0.293+2.2+0.388+1.38</f>
        <v>17.218</v>
      </c>
      <c r="P10" s="20">
        <f>3.89+5.79+0.405+0.272+2.6+0.293+2.2+0.388+1.38</f>
        <v>17.218</v>
      </c>
      <c r="Q10" s="20">
        <f>3.89+5.79+0.405+0.272+2.6+0.293+2.2+0.388+1.38+3.1</f>
        <v>20.318000000000001</v>
      </c>
      <c r="R10" s="20">
        <f>3.72+3.1+1.38+0.388+2.2+0.293+1.81+0.879+0.272+0.405+5.79+3.89</f>
        <v>24.126999999999999</v>
      </c>
      <c r="S10" s="20">
        <f>3.89+5.79+0.405+0.272+2.07+0.36+0.98+3.58+2.57+0.455</f>
        <v>20.372</v>
      </c>
      <c r="T10" s="20">
        <f>3.06+0.2+1.38+0.388+2.2+0.293+2.6+0.272+0.405+5.79+3.89</f>
        <v>20.478000000000002</v>
      </c>
      <c r="U10" s="20">
        <f>3.89+5.79+0.405+0.272+2.07+0.36+0.98+3.58+2.57+1.39+0.876</f>
        <v>22.183000000000003</v>
      </c>
      <c r="V10" s="20">
        <f>3.89+5.79+0.405+0.272+2.07+0.36+0.98+3.58+2.57+1.39+0.876+5.21</f>
        <v>27.393000000000004</v>
      </c>
      <c r="W10" s="20">
        <f>4.14+1.96+2.13+4.13+3.58+0.98+0.36+2.07+0.272+0.405+5.79+3.89+3.68</f>
        <v>33.387</v>
      </c>
      <c r="X10" s="20">
        <f>4.14+1.96+2.13+4.13+3.58+0.98+0.36+2.07+0.272+0.405+5.79+3.89</f>
        <v>29.706999999999997</v>
      </c>
      <c r="Y10" s="20">
        <f>1.96+2.13+4.13+3.58+0.98+0.36+2.07+0.272+0.405+5.79+3.89</f>
        <v>25.567</v>
      </c>
      <c r="Z10" s="20">
        <f>1.96+2.13+4.13+3.58+0.98+0.36+2.07+0.272+0.405+5.79+3.89</f>
        <v>25.567</v>
      </c>
    </row>
    <row r="11" spans="1:26" x14ac:dyDescent="0.25">
      <c r="A11" s="21" t="s">
        <v>23</v>
      </c>
      <c r="B11" s="20">
        <f>3.58+0.98+0.36+2.07+0.272+0.405+5.79+3.89+2.97+1.34</f>
        <v>21.657</v>
      </c>
      <c r="C11" s="20">
        <f>3.58+0.98+0.36+2.07+0.272+0.405+5.79+3.89+2.97</f>
        <v>20.317</v>
      </c>
      <c r="D11" s="20">
        <f>3.58+0.98+0.36+2.07+0.272+0.405+5.79+3.89+2.97</f>
        <v>20.317</v>
      </c>
      <c r="E11" s="20">
        <f>0.36+2.07+0.272+5.79+3.89+2.97</f>
        <v>15.352000000000002</v>
      </c>
      <c r="F11" s="20">
        <f>2.97+3.89+5.79</f>
        <v>12.65</v>
      </c>
      <c r="G11" s="20">
        <f>2.97+3.89+5.79</f>
        <v>12.65</v>
      </c>
      <c r="H11" s="20">
        <f>3.89+2.97</f>
        <v>6.86</v>
      </c>
      <c r="I11" s="20">
        <f>2.97</f>
        <v>2.97</v>
      </c>
      <c r="J11" s="22">
        <v>0</v>
      </c>
      <c r="K11" s="20">
        <f>0.879+0.272+0.405+5.79+3.89+2.97</f>
        <v>14.206000000000001</v>
      </c>
      <c r="L11" s="20">
        <f>1.81+0.879+0.272+0.405+5.79+3.89+2.97</f>
        <v>16.016000000000002</v>
      </c>
      <c r="M11" s="20">
        <f>0.388+2.2+0.293+1.81+0.879+0.272+0.405+5.79+3.89+2.97</f>
        <v>18.897000000000002</v>
      </c>
      <c r="N11" s="20">
        <f>1.38+0.388+2.2+0.293+1.81+0.879+0.272+0.405+5.79+3.89+2.97</f>
        <v>20.276999999999997</v>
      </c>
      <c r="O11" s="20">
        <f>1.38+0.388+2.2+0.293+1.81+0.879+0.272+0.405+5.79+3.89+2.97</f>
        <v>20.276999999999997</v>
      </c>
      <c r="P11" s="20">
        <f>1.38+0.388+2.2+0.293+1.81+0.879+0.272+0.405+5.79+3.89+2.97</f>
        <v>20.276999999999997</v>
      </c>
      <c r="Q11" s="20">
        <f>3.1+1.38+0.388+2.2+0.293+1.81+0.879+0.272+0.405+5.79+3.89+2.97</f>
        <v>23.376999999999999</v>
      </c>
      <c r="R11" s="20">
        <f>3.72+3.1+1.38+0.388+2.2+0.293+1.81+0.879+0.272+0.405+5.79+3.89+2.97</f>
        <v>27.096999999999998</v>
      </c>
      <c r="S11" s="20">
        <f>0.684+0.45+3.06+1.38+0.388+2.2+0.293+1.81+0.879+0.272+0.405+5.79+3.89+2.97</f>
        <v>24.470999999999997</v>
      </c>
      <c r="T11" s="20">
        <f>3.06+1.38+0.388+2.2+0.293+1.81+0.879+0.272+0.405+5.79+3.89+2.97</f>
        <v>23.337</v>
      </c>
      <c r="U11" s="20">
        <f>0.876+1.39+0.684+0.45+3.06+1.38+0.388+2.2+0.293+1.81+0.879+0.272+0.405+5.79+3.89+2.97</f>
        <v>26.736999999999998</v>
      </c>
      <c r="V11" s="20">
        <f>5.21+0.876+1.39+0.455+0.684+0.45+3.06+1.38+0.388+2.2+0.293+1.81+0.879+0.272+0.405+5.79+3.89+2.97</f>
        <v>32.402000000000001</v>
      </c>
      <c r="W11" s="20">
        <f>4.14+1.96+2.13+4.13+3.58+0.98+0.36+2.07+0.272+0.405+5.79+3.89+2.97+3.68</f>
        <v>36.356999999999999</v>
      </c>
      <c r="X11" s="20">
        <f>4.14+1.96+2.13+4.13+3.58+0.98+0.36+2.07+0.272+0.405+5.79+3.89+2.97</f>
        <v>32.677</v>
      </c>
      <c r="Y11" s="20">
        <f>1.96+2.13+4.13+3.58+0.98+0.36+2.07+0.272+0.405+5.79+3.89+2.97</f>
        <v>28.536999999999999</v>
      </c>
      <c r="Z11" s="20">
        <f>1.96+2.13+4.13+3.58+0.98+0.36+2.07+0.272+0.405+5.79+3.89+2.97</f>
        <v>28.536999999999999</v>
      </c>
    </row>
    <row r="12" spans="1:26" x14ac:dyDescent="0.25">
      <c r="A12" s="21" t="s">
        <v>22</v>
      </c>
      <c r="B12" s="20">
        <f>3.58+0.98+0.36+2.07+0.879+1.34</f>
        <v>9.2089999999999996</v>
      </c>
      <c r="C12" s="20">
        <f>3.58+0.98+0.36+2.07+0.879</f>
        <v>7.8689999999999998</v>
      </c>
      <c r="D12" s="20">
        <f>3.58+0.98+0.36+2.07+0.879</f>
        <v>7.8689999999999998</v>
      </c>
      <c r="E12" s="20">
        <f>0.36+2.07+0.879</f>
        <v>3.3089999999999997</v>
      </c>
      <c r="F12" s="20">
        <f>0.879+0.272+0.405</f>
        <v>1.556</v>
      </c>
      <c r="G12" s="20">
        <f>0.879+0.272+0.405</f>
        <v>1.556</v>
      </c>
      <c r="H12" s="20">
        <f>5.79+0.405+0.272+0.879</f>
        <v>7.3460000000000001</v>
      </c>
      <c r="I12" s="20">
        <f>3.89+5.79+0.405+0.272+0.879</f>
        <v>11.235999999999999</v>
      </c>
      <c r="J12" s="20">
        <f>0.879+0.272+0.405+5.79+3.89+2.97</f>
        <v>14.206000000000001</v>
      </c>
      <c r="K12" s="22">
        <v>0</v>
      </c>
      <c r="L12" s="20">
        <v>1.81</v>
      </c>
      <c r="M12" s="20">
        <f>0.388+2.2+0.293+1.81</f>
        <v>4.6910000000000007</v>
      </c>
      <c r="N12" s="20">
        <f>1.38+0.388+2.2+0.293+1.81</f>
        <v>6.0709999999999997</v>
      </c>
      <c r="O12" s="20">
        <f>1.38+0.388+2.2+0.293+1.81</f>
        <v>6.0709999999999997</v>
      </c>
      <c r="P12" s="20">
        <f>1.38+0.388+2.2+0.293+1.81</f>
        <v>6.0709999999999997</v>
      </c>
      <c r="Q12" s="20">
        <f>3.1+1.38+0.388+2.2+0.293+1.81</f>
        <v>9.1710000000000012</v>
      </c>
      <c r="R12" s="20">
        <f>3.72+3.1+1.38+0.388+2.2+0.293+1.81</f>
        <v>12.891</v>
      </c>
      <c r="S12" s="20">
        <f>0.684+0.45+3.06+1.38+0.388+2.2+0.293+1.81</f>
        <v>10.264999999999999</v>
      </c>
      <c r="T12" s="20">
        <f>3.06+0.2+1.38+0.388+2.2+0.293+1.81</f>
        <v>9.3310000000000013</v>
      </c>
      <c r="U12" s="20">
        <f>0.876+1.39+0.455+0.684+0.45+3.06+1.38+0.388+2.2+0.293+1.81</f>
        <v>12.986000000000002</v>
      </c>
      <c r="V12" s="20">
        <f>5.21+0.876+1.39+0.455+0.684+0.45+3.06+1.38+0.388+2.2+0.293+1.81</f>
        <v>18.195999999999998</v>
      </c>
      <c r="W12" s="20">
        <f>4.14+1.96+2.13+4.13+3.58+0.98+0.36+2.07+0.879+3.68</f>
        <v>23.908999999999999</v>
      </c>
      <c r="X12" s="20">
        <f>4.14+1.96+2.13+4.13+3.58+0.98+0.36+2.07+0.879</f>
        <v>20.228999999999999</v>
      </c>
      <c r="Y12" s="20">
        <f>1.96+2.13+4.13+3.58+0.98+0.36+2.07+0.879</f>
        <v>16.088999999999999</v>
      </c>
      <c r="Z12" s="20">
        <f>1.96+2.13+4.13+3.58+0.98+0.36+2.07+0.879</f>
        <v>16.088999999999999</v>
      </c>
    </row>
    <row r="13" spans="1:26" x14ac:dyDescent="0.25">
      <c r="A13" s="21" t="s">
        <v>19</v>
      </c>
      <c r="B13" s="20">
        <f>3.58+0.98+0.36+2.07+2.6+1.34</f>
        <v>10.93</v>
      </c>
      <c r="C13" s="20">
        <f>3.58+0.98+0.36+2.07+2.6</f>
        <v>9.59</v>
      </c>
      <c r="D13" s="20">
        <f>3.58+0.98+0.36+2.07+2.6</f>
        <v>9.59</v>
      </c>
      <c r="E13" s="20">
        <f>2.6+2.07+0.36</f>
        <v>5.03</v>
      </c>
      <c r="F13" s="20">
        <f>0.405+0.272+2.6</f>
        <v>3.2770000000000001</v>
      </c>
      <c r="G13" s="20">
        <f>0.405+0.272+2.6</f>
        <v>3.2770000000000001</v>
      </c>
      <c r="H13" s="20">
        <f>5.79+0.405+0.272+2.6</f>
        <v>9.0670000000000002</v>
      </c>
      <c r="I13" s="20">
        <f>3.89+5.79+0.405+0.272+2.6</f>
        <v>12.956999999999999</v>
      </c>
      <c r="J13" s="20">
        <f>1.81+0.879+0.272+0.405+5.79+3.89+2.97</f>
        <v>16.016000000000002</v>
      </c>
      <c r="K13" s="20">
        <v>1.81</v>
      </c>
      <c r="L13" s="22">
        <v>0</v>
      </c>
      <c r="M13" s="20">
        <f>0.388+2.2+0.293</f>
        <v>2.8810000000000002</v>
      </c>
      <c r="N13" s="20">
        <f>1.38+0.388+2.2+0.293</f>
        <v>4.2610000000000001</v>
      </c>
      <c r="O13" s="20">
        <f>1.38+0.388+2.2+0.293</f>
        <v>4.2610000000000001</v>
      </c>
      <c r="P13" s="20">
        <f>1.38+0.388+2.2+0.293</f>
        <v>4.2610000000000001</v>
      </c>
      <c r="Q13" s="20">
        <f>3.1+1.38+0.388+2.2+0.293</f>
        <v>7.3610000000000007</v>
      </c>
      <c r="R13" s="20">
        <f>3.72+3.1+1.38+0.388+2.2+0.293</f>
        <v>11.081</v>
      </c>
      <c r="S13" s="20">
        <f>0.684+0.45+3.06+1.38+0.388+2.2+0.293</f>
        <v>8.4549999999999983</v>
      </c>
      <c r="T13" s="20">
        <f>3.06+0.2+1.38+0.388+2.2+0.293</f>
        <v>7.5210000000000008</v>
      </c>
      <c r="U13" s="20">
        <f>0.876+1.39+0.455+0.684+0.45+3.06+1.38+0.388+2.2+0.293</f>
        <v>11.176000000000002</v>
      </c>
      <c r="V13" s="20">
        <f>5.21+0.876+1.39+0.455+0.684+0.45+3.06+1.38+0.388+2.2+0.293</f>
        <v>16.385999999999999</v>
      </c>
      <c r="W13" s="20">
        <f>4.14+1.96+2.13+4.13+3.58+0.98+0.36+2.07+2.6+3.68</f>
        <v>25.63</v>
      </c>
      <c r="X13" s="20">
        <f>4.14+1.96+2.13+4.13+3.58+0.98+0.36+2.07+2.6</f>
        <v>21.95</v>
      </c>
      <c r="Y13" s="20">
        <f>1.96+2.13+4.13+3.58+0.98+0.36+2.07+2.6</f>
        <v>17.809999999999999</v>
      </c>
      <c r="Z13" s="20">
        <f>1.96+2.13+4.13+3.58+0.98+0.36+2.07+2.6</f>
        <v>17.809999999999999</v>
      </c>
    </row>
    <row r="14" spans="1:26" x14ac:dyDescent="0.25">
      <c r="A14" s="21" t="s">
        <v>2</v>
      </c>
      <c r="B14" s="20">
        <f>2.57+0.455+0.684+0.45+3.06+1.38+1.34</f>
        <v>9.9390000000000001</v>
      </c>
      <c r="C14" s="20">
        <f>2.57+0.455+0.684+0.45+3.06+1.38</f>
        <v>8.5990000000000002</v>
      </c>
      <c r="D14" s="20">
        <f>2.57+0.455+0.684+0.45+3.06+1.38</f>
        <v>8.5990000000000002</v>
      </c>
      <c r="E14" s="20">
        <f>0.388+2.2+0.293+2.6+2.07+0.36</f>
        <v>7.9110000000000005</v>
      </c>
      <c r="F14" s="20">
        <f>0.388+2.2+0.293+1.81+0.879+0.272+0.405</f>
        <v>6.2470000000000008</v>
      </c>
      <c r="G14" s="20">
        <f>0.388+2.2+0.293+1.81+0.879+0.272+0.405</f>
        <v>6.2470000000000008</v>
      </c>
      <c r="H14" s="20">
        <f>0.388+2.2+0.293+2.6+0.272+0.405+5.79</f>
        <v>11.948</v>
      </c>
      <c r="I14" s="20">
        <f>3.89+5.79+0.405+0.272+0.879+1.81+0.293+2.2+0.388</f>
        <v>15.926999999999998</v>
      </c>
      <c r="J14" s="20">
        <f>0.388+2.2+0.293+1.81+0.879+0.272+0.405+5.79+3.89+2.97</f>
        <v>18.897000000000002</v>
      </c>
      <c r="K14" s="20">
        <f>0.388+2.2+0.293+1.81</f>
        <v>4.6910000000000007</v>
      </c>
      <c r="L14" s="20">
        <f>0.388+2.2+0.293</f>
        <v>2.8810000000000002</v>
      </c>
      <c r="M14" s="22">
        <v>0</v>
      </c>
      <c r="N14" s="20">
        <f>1.38</f>
        <v>1.38</v>
      </c>
      <c r="O14" s="20">
        <f>1.38</f>
        <v>1.38</v>
      </c>
      <c r="P14" s="20">
        <f>1.38</f>
        <v>1.38</v>
      </c>
      <c r="Q14" s="20">
        <f>1.38+3.1</f>
        <v>4.4800000000000004</v>
      </c>
      <c r="R14" s="20">
        <f>1.38+3.1+3.72</f>
        <v>8.2000000000000011</v>
      </c>
      <c r="S14" s="20">
        <f>1.38+3.06+0.45+0.684</f>
        <v>5.5739999999999998</v>
      </c>
      <c r="T14" s="20">
        <f>3.06+1.38</f>
        <v>4.4399999999999995</v>
      </c>
      <c r="U14" s="20">
        <f>1.38+3.06+0.45+0.684+0.455+1.39+0.876</f>
        <v>8.2949999999999999</v>
      </c>
      <c r="V14" s="20">
        <f>1.38+3.06+0.45+0.684+0.455+1.39+0.876+5.21</f>
        <v>13.504999999999999</v>
      </c>
      <c r="W14" s="20">
        <f>1.38+3.06+0.45+0.684+0.455+1.39+0.876+5.21+1.46+3.68</f>
        <v>18.645</v>
      </c>
      <c r="X14" s="20">
        <f>1.38+3.06+0.45+0.684+0.455+1.39+0.876+5.21+1.46+1.23</f>
        <v>16.195</v>
      </c>
      <c r="Y14" s="20">
        <f>1.96+2.13+4.13+3.58+0.98+0.36+2.07+0.879+1.81+0.293+2.2+0.388</f>
        <v>20.779999999999998</v>
      </c>
      <c r="Z14" s="20">
        <f>1.96+2.13+4.13+3.58+0.98+0.36+2.07+0.879+1.81+0.293+2.2+0.388</f>
        <v>20.779999999999998</v>
      </c>
    </row>
    <row r="15" spans="1:26" x14ac:dyDescent="0.25">
      <c r="A15" s="21" t="s">
        <v>24</v>
      </c>
      <c r="B15" s="20">
        <f>2.57+0.455+0.684+0.45+3.06+1.34</f>
        <v>8.5589999999999993</v>
      </c>
      <c r="C15" s="20">
        <f t="shared" ref="C15:D17" si="2">2.57+0.455+0.684+0.45+3.06</f>
        <v>7.2189999999999994</v>
      </c>
      <c r="D15" s="20">
        <f t="shared" si="2"/>
        <v>7.2189999999999994</v>
      </c>
      <c r="E15" s="20">
        <f>1.38+0.388+2.2+0.293+2.6+2.07+0.36</f>
        <v>9.2910000000000004</v>
      </c>
      <c r="F15" s="20">
        <f t="shared" ref="F15:G17" si="3">0.405+0.272+2.6+0.293+2.2+0.388+1.38</f>
        <v>7.5380000000000003</v>
      </c>
      <c r="G15" s="20">
        <f t="shared" si="3"/>
        <v>7.5380000000000003</v>
      </c>
      <c r="H15" s="20">
        <f>1.38+0.388+2.2+0.293+2.6+0.272+0.405+5.79</f>
        <v>13.328000000000001</v>
      </c>
      <c r="I15" s="20">
        <f>3.89+5.79+0.405+0.272+2.6+0.293+2.2+0.388+1.38</f>
        <v>17.218</v>
      </c>
      <c r="J15" s="20">
        <f>1.38+0.388+2.2+0.293+1.81+0.879+0.272+0.405+5.79+3.89+2.97</f>
        <v>20.276999999999997</v>
      </c>
      <c r="K15" s="20">
        <f>1.38+0.388+2.2+0.293+1.81</f>
        <v>6.0709999999999997</v>
      </c>
      <c r="L15" s="20">
        <f>1.38+0.388+2.2+0.293</f>
        <v>4.2610000000000001</v>
      </c>
      <c r="M15" s="20">
        <f>1.38</f>
        <v>1.38</v>
      </c>
      <c r="N15" s="22">
        <v>0</v>
      </c>
      <c r="O15" s="22">
        <v>0</v>
      </c>
      <c r="P15" s="22">
        <v>0</v>
      </c>
      <c r="Q15" s="20">
        <v>3.1</v>
      </c>
      <c r="R15" s="20">
        <f>3.72+3.1</f>
        <v>6.82</v>
      </c>
      <c r="S15" s="20">
        <f>3.06+0.45+0.684</f>
        <v>4.194</v>
      </c>
      <c r="T15" s="20">
        <f>3.06+0.2</f>
        <v>3.2600000000000002</v>
      </c>
      <c r="U15" s="20">
        <f>3.06+0.45+0.684+0.455+1.39+0.876</f>
        <v>6.915</v>
      </c>
      <c r="V15" s="20">
        <f>3.06+0.45+0.684+0.455+1.39+0.876+5.21</f>
        <v>12.125</v>
      </c>
      <c r="W15" s="20">
        <f>1.23+1.46+5.21+0.876+1.39+0.455+0.684+0.45+3.06+3.68</f>
        <v>18.495000000000001</v>
      </c>
      <c r="X15" s="20">
        <v>13.815</v>
      </c>
      <c r="Y15" s="20">
        <f t="shared" ref="Y15:Z17" si="4">1.96+2.13+4.13+2.57+0.455+0.684+0.45+3.06</f>
        <v>15.438999999999998</v>
      </c>
      <c r="Z15" s="20">
        <f t="shared" si="4"/>
        <v>15.438999999999998</v>
      </c>
    </row>
    <row r="16" spans="1:26" x14ac:dyDescent="0.25">
      <c r="A16" s="21" t="s">
        <v>8</v>
      </c>
      <c r="B16" s="20">
        <f>2.57+0.455+0.684+0.45+3.06+1.34</f>
        <v>8.5589999999999993</v>
      </c>
      <c r="C16" s="20">
        <f t="shared" si="2"/>
        <v>7.2189999999999994</v>
      </c>
      <c r="D16" s="20">
        <f t="shared" si="2"/>
        <v>7.2189999999999994</v>
      </c>
      <c r="E16" s="20">
        <f>1.38+0.388+2.2+0.293+2.6+2.07+0.36</f>
        <v>9.2910000000000004</v>
      </c>
      <c r="F16" s="20">
        <f t="shared" si="3"/>
        <v>7.5380000000000003</v>
      </c>
      <c r="G16" s="20">
        <f t="shared" si="3"/>
        <v>7.5380000000000003</v>
      </c>
      <c r="H16" s="20">
        <f>1.38+0.388+2.2+0.293+2.6+0.272+0.405+5.79</f>
        <v>13.328000000000001</v>
      </c>
      <c r="I16" s="20">
        <f>3.89+5.79+0.405+0.272+2.6+0.293+2.2+0.388+1.38</f>
        <v>17.218</v>
      </c>
      <c r="J16" s="20">
        <f t="shared" ref="J16:J17" si="5">1.38+0.388+2.2+0.293+1.81+0.879+0.272+0.405+5.79+3.89+2.97</f>
        <v>20.276999999999997</v>
      </c>
      <c r="K16" s="20">
        <f>1.38+0.388+2.2+0.293+1.81</f>
        <v>6.0709999999999997</v>
      </c>
      <c r="L16" s="20">
        <f>1.38+0.388+2.2+0.293</f>
        <v>4.2610000000000001</v>
      </c>
      <c r="M16" s="20">
        <f>1.38</f>
        <v>1.38</v>
      </c>
      <c r="N16" s="22">
        <v>0</v>
      </c>
      <c r="O16" s="22">
        <v>0</v>
      </c>
      <c r="P16" s="22">
        <v>0</v>
      </c>
      <c r="Q16" s="20">
        <v>3.1</v>
      </c>
      <c r="R16" s="20">
        <f>3.72+3.1</f>
        <v>6.82</v>
      </c>
      <c r="S16" s="20">
        <f>3.06+0.45+0.684</f>
        <v>4.194</v>
      </c>
      <c r="T16" s="20">
        <f>3.06+0.2</f>
        <v>3.2600000000000002</v>
      </c>
      <c r="U16" s="20">
        <f>3.06+0.45+0.684+0.455+1.39+0.876</f>
        <v>6.915</v>
      </c>
      <c r="V16" s="20">
        <f>3.06+0.45+0.684+0.455+1.39+0.876+5.21</f>
        <v>12.125</v>
      </c>
      <c r="W16" s="20">
        <f>1.23+1.46+5.21+0.876+1.39+0.455+0.684+0.45+3.06+3.68</f>
        <v>18.495000000000001</v>
      </c>
      <c r="X16" s="20">
        <v>14.815</v>
      </c>
      <c r="Y16" s="20">
        <f t="shared" si="4"/>
        <v>15.438999999999998</v>
      </c>
      <c r="Z16" s="20">
        <f t="shared" si="4"/>
        <v>15.438999999999998</v>
      </c>
    </row>
    <row r="17" spans="1:26" x14ac:dyDescent="0.25">
      <c r="A17" s="21" t="s">
        <v>30</v>
      </c>
      <c r="B17" s="20">
        <f>2.57+0.455+0.684+0.45+3.06+1.34</f>
        <v>8.5589999999999993</v>
      </c>
      <c r="C17" s="20">
        <f t="shared" si="2"/>
        <v>7.2189999999999994</v>
      </c>
      <c r="D17" s="20">
        <f t="shared" si="2"/>
        <v>7.2189999999999994</v>
      </c>
      <c r="E17" s="20">
        <f>1.38+0.388+2.2+0.293+2.6+2.07+0.36</f>
        <v>9.2910000000000004</v>
      </c>
      <c r="F17" s="20">
        <f t="shared" si="3"/>
        <v>7.5380000000000003</v>
      </c>
      <c r="G17" s="20">
        <f t="shared" si="3"/>
        <v>7.5380000000000003</v>
      </c>
      <c r="H17" s="20">
        <f>1.38+0.388+2.2+0.293+2.6+0.272+0.405+5.79</f>
        <v>13.328000000000001</v>
      </c>
      <c r="I17" s="20">
        <f>3.89+5.79+0.405+0.272+2.6+0.293+2.2+0.388+1.38</f>
        <v>17.218</v>
      </c>
      <c r="J17" s="20">
        <f t="shared" si="5"/>
        <v>20.276999999999997</v>
      </c>
      <c r="K17" s="20">
        <f>1.38+0.388+2.2+0.293+1.81</f>
        <v>6.0709999999999997</v>
      </c>
      <c r="L17" s="20">
        <f>1.38+0.388+2.2+0.293</f>
        <v>4.2610000000000001</v>
      </c>
      <c r="M17" s="20">
        <f>1.38</f>
        <v>1.38</v>
      </c>
      <c r="N17" s="22">
        <v>0</v>
      </c>
      <c r="O17" s="22">
        <v>0</v>
      </c>
      <c r="P17" s="22">
        <v>0</v>
      </c>
      <c r="Q17" s="20">
        <v>3.1</v>
      </c>
      <c r="R17" s="20">
        <f>3.72+3.1</f>
        <v>6.82</v>
      </c>
      <c r="S17" s="20">
        <f>3.06+0.45+0.684</f>
        <v>4.194</v>
      </c>
      <c r="T17" s="20">
        <f>3.06+0.2</f>
        <v>3.2600000000000002</v>
      </c>
      <c r="U17" s="20">
        <f>3.06+0.45+0.684+0.455+1.39+0.876</f>
        <v>6.915</v>
      </c>
      <c r="V17" s="20">
        <f>3.06+0.45+0.684+0.455+1.39+0.876+5.21</f>
        <v>12.125</v>
      </c>
      <c r="W17" s="20">
        <f>1.23+1.46+5.21+0.876+1.39+0.455+0.684+0.45+3.06+3.68</f>
        <v>18.495000000000001</v>
      </c>
      <c r="X17" s="20">
        <v>15.815</v>
      </c>
      <c r="Y17" s="20">
        <f t="shared" si="4"/>
        <v>15.438999999999998</v>
      </c>
      <c r="Z17" s="20">
        <f t="shared" si="4"/>
        <v>15.438999999999998</v>
      </c>
    </row>
    <row r="18" spans="1:26" x14ac:dyDescent="0.25">
      <c r="A18" s="21" t="s">
        <v>0</v>
      </c>
      <c r="B18" s="20">
        <f>2.57+0.455+0.684+0.45+3.06+3.1+1.34</f>
        <v>11.658999999999999</v>
      </c>
      <c r="C18" s="20">
        <f>2.57+0.455+0.684+0.45+3.06+3.1</f>
        <v>10.318999999999999</v>
      </c>
      <c r="D18" s="20">
        <f>2.57+0.455+0.684+0.45+3.06+3.1</f>
        <v>10.318999999999999</v>
      </c>
      <c r="E18" s="20">
        <f>3.1+1.38+0.388+2.2+0.293+2.6+2.07+0.36</f>
        <v>12.391</v>
      </c>
      <c r="F18" s="20">
        <f>0.405+0.272+2.6+0.293+2.2+0.388+1.38+3.1</f>
        <v>10.638</v>
      </c>
      <c r="G18" s="20">
        <f>0.405+0.272+2.6+0.293+2.2+0.388+1.38+3.1</f>
        <v>10.638</v>
      </c>
      <c r="H18" s="20">
        <f>3.1+1.38+0.388+2.2+0.293+2.6+0.272+0.405+5.79</f>
        <v>16.428000000000001</v>
      </c>
      <c r="I18" s="20">
        <f>3.89+5.79+0.405+0.272+2.6+0.293+2.2+0.388+1.38+3.1</f>
        <v>20.318000000000001</v>
      </c>
      <c r="J18" s="20">
        <f>3.1+1.38+0.388+2.2+0.293+1.81+0.879+0.272+0.405+5.79+3.89+2.97</f>
        <v>23.376999999999999</v>
      </c>
      <c r="K18" s="20">
        <f>3.1+1.38+0.388+2.2+0.293+1.81</f>
        <v>9.1710000000000012</v>
      </c>
      <c r="L18" s="20">
        <f>3.1+1.38+0.388+2.2+0.293</f>
        <v>7.3610000000000007</v>
      </c>
      <c r="M18" s="20">
        <f>1.38+3.1</f>
        <v>4.4800000000000004</v>
      </c>
      <c r="N18" s="20">
        <v>2.1</v>
      </c>
      <c r="O18" s="20">
        <v>3.1</v>
      </c>
      <c r="P18" s="20">
        <v>3.1</v>
      </c>
      <c r="Q18" s="22">
        <v>0</v>
      </c>
      <c r="R18" s="20">
        <v>3.72</v>
      </c>
      <c r="S18" s="20">
        <f>3.1+3.06+0.45+0.684</f>
        <v>7.2940000000000005</v>
      </c>
      <c r="T18" s="20">
        <f>3.06+0.2+3.1</f>
        <v>6.36</v>
      </c>
      <c r="U18" s="20">
        <f>3.1+3.06+0.45+0.684+0.455+1.39+0.876</f>
        <v>10.015000000000001</v>
      </c>
      <c r="V18" s="20">
        <f>3.1+3.06+0.45+0.684+0.455+1.39+0.876+5.21</f>
        <v>15.225000000000001</v>
      </c>
      <c r="W18" s="20">
        <f>1.23+1.46+5.21+0.876+1.39+0.455+0.684+0.45+3.06+3.1+3.68</f>
        <v>21.594999999999999</v>
      </c>
      <c r="X18" s="20">
        <f>1.23+1.46+5.21+0.876+1.39+0.455+0.684+0.45+3.06+3.1</f>
        <v>17.914999999999999</v>
      </c>
      <c r="Y18" s="20">
        <f>1.96+2.13+4.13+2.57+0.455+0.684+0.45+3.06+3.1</f>
        <v>18.538999999999998</v>
      </c>
      <c r="Z18" s="20">
        <f>1.96+2.13+4.13+2.57+0.455+0.684+0.45+3.06+3.1</f>
        <v>18.538999999999998</v>
      </c>
    </row>
    <row r="19" spans="1:26" x14ac:dyDescent="0.25">
      <c r="A19" s="21" t="s">
        <v>3</v>
      </c>
      <c r="B19" s="20">
        <f>1.34+2.57+1.39+2.05+9.89</f>
        <v>17.240000000000002</v>
      </c>
      <c r="C19" s="20">
        <f>2.57+1.39+2.05+9.89</f>
        <v>15.9</v>
      </c>
      <c r="D19" s="20">
        <f>2.57+1.39+2.05+9.89</f>
        <v>15.9</v>
      </c>
      <c r="E19" s="20">
        <f>3.72+3.1+1.38+0.388+2.2+0.293+2.6+2.07+0.36</f>
        <v>16.111000000000001</v>
      </c>
      <c r="F19" s="20">
        <f>3.72+3.1+1.38+0.388+2.2+0.293+1.81+0.879+0.272+0.405</f>
        <v>14.446999999999999</v>
      </c>
      <c r="G19" s="20">
        <f>3.72+3.1+1.38+0.388+2.2+0.293+1.81+0.879+0.272+0.405</f>
        <v>14.446999999999999</v>
      </c>
      <c r="H19" s="20">
        <f>3.72+3.1+1.38+0.388+2.2+0.293+2.6+0.272+0.405+5.79</f>
        <v>20.148</v>
      </c>
      <c r="I19" s="20">
        <f>3.72+3.1+1.38+0.388+2.2+0.293+1.81+0.879+0.272+0.405+5.79+3.89</f>
        <v>24.126999999999999</v>
      </c>
      <c r="J19" s="20">
        <f>3.72+3.1+1.38+0.388+2.2+0.293+1.81+0.879+0.272+0.405+5.79+3.89+2.97</f>
        <v>27.096999999999998</v>
      </c>
      <c r="K19" s="20">
        <f>3.72+3.1+1.38+0.388+2.2+0.293+1.81</f>
        <v>12.891</v>
      </c>
      <c r="L19" s="20">
        <f>3.72+3.1+1.38+0.388+2.2+0.293</f>
        <v>11.081</v>
      </c>
      <c r="M19" s="20">
        <f>1.38+3.1+3.72</f>
        <v>8.2000000000000011</v>
      </c>
      <c r="N19" s="20">
        <f>3.72+3.1</f>
        <v>6.82</v>
      </c>
      <c r="O19" s="20">
        <f>3.72+3.1</f>
        <v>6.82</v>
      </c>
      <c r="P19" s="20">
        <f>3.72+3.1</f>
        <v>6.82</v>
      </c>
      <c r="Q19" s="20">
        <v>3.72</v>
      </c>
      <c r="R19" s="22">
        <v>0</v>
      </c>
      <c r="S19" s="20">
        <f>3.72+3.1+3.06+0.45+0.684</f>
        <v>11.013999999999999</v>
      </c>
      <c r="T19" s="20">
        <f>3.72+3.1+3.06</f>
        <v>9.8800000000000008</v>
      </c>
      <c r="U19" s="20">
        <f>9.89+2.05+0.876</f>
        <v>12.816000000000001</v>
      </c>
      <c r="V19" s="20">
        <f>9.89+2.05+0.876+5.21</f>
        <v>18.026</v>
      </c>
      <c r="W19" s="20">
        <f>3.68+1.46+5.21+0.876+2.05+9.89</f>
        <v>23.166</v>
      </c>
      <c r="X19" s="20">
        <f>1.23+1.46+5.21+0.876+2.05+9.89</f>
        <v>20.716000000000001</v>
      </c>
      <c r="Y19" s="20">
        <f>3.72+3.1+3.06+0.45+0.684+0.455+2.57+1.34+2.82+2.13+1.96</f>
        <v>22.288999999999998</v>
      </c>
      <c r="Z19" s="20">
        <f>3.72+3.1+3.06+0.45+0.684+0.455+2.57+1.34+2.82+2.13+1.96</f>
        <v>22.288999999999998</v>
      </c>
    </row>
    <row r="20" spans="1:26" x14ac:dyDescent="0.25">
      <c r="A20" s="21" t="s">
        <v>25</v>
      </c>
      <c r="B20" s="20">
        <f>2.57+0.455+1.34</f>
        <v>4.3650000000000002</v>
      </c>
      <c r="C20" s="20">
        <f>2.57+0.455</f>
        <v>3.0249999999999999</v>
      </c>
      <c r="D20" s="20">
        <f>2.57+0.455</f>
        <v>3.0249999999999999</v>
      </c>
      <c r="E20" s="20">
        <f>0.455+2.57+3.58+0.98</f>
        <v>7.5850000000000009</v>
      </c>
      <c r="F20" s="20">
        <f>0.405+0.272+2.07+0.36+0.98+3.58+2.57+0.455</f>
        <v>10.692</v>
      </c>
      <c r="G20" s="20">
        <f>0.405+0.272+2.07+0.36+0.98+3.58+2.57+0.455</f>
        <v>10.692</v>
      </c>
      <c r="H20" s="20">
        <f>0.684+0.45+3.06+1.38+0.388+2.2+0.293+2.6+0.272+0.405+5.79</f>
        <v>17.521999999999998</v>
      </c>
      <c r="I20" s="20">
        <f>3.89+5.79+0.405+0.272+2.07+0.36+0.98+3.58+2.57+0.455</f>
        <v>20.372</v>
      </c>
      <c r="J20" s="20">
        <f>0.684+0.45+3.06+1.38+0.388+2.2+0.293+1.81+0.879+0.272+0.405+5.79+3.89+2.97</f>
        <v>24.470999999999997</v>
      </c>
      <c r="K20" s="20">
        <f>0.684+0.45+3.06+1.38+0.388+2.2+0.293+1.81</f>
        <v>10.264999999999999</v>
      </c>
      <c r="L20" s="20">
        <f>0.684+0.45+3.06+1.38+0.388+2.2+0.293</f>
        <v>8.4549999999999983</v>
      </c>
      <c r="M20" s="20">
        <f>1.38+3.06+0.45+0.684</f>
        <v>5.5739999999999998</v>
      </c>
      <c r="N20" s="20">
        <f>3.06+0.45+0.684</f>
        <v>4.194</v>
      </c>
      <c r="O20" s="20">
        <f>3.06+0.45+0.684</f>
        <v>4.194</v>
      </c>
      <c r="P20" s="20">
        <f>3.06+0.45+0.684</f>
        <v>4.194</v>
      </c>
      <c r="Q20" s="20">
        <f>3.1+3.06+0.45+0.684</f>
        <v>7.2940000000000005</v>
      </c>
      <c r="R20" s="20">
        <f>3.72+3.1+3.06+0.45+0.684</f>
        <v>11.013999999999999</v>
      </c>
      <c r="S20" s="22">
        <v>0</v>
      </c>
      <c r="T20" s="20">
        <f>0.684</f>
        <v>0.68400000000000005</v>
      </c>
      <c r="U20" s="20">
        <f>0.455+1.39+0.876</f>
        <v>2.7210000000000001</v>
      </c>
      <c r="V20" s="20">
        <f>0.455+1.39+0.876+5.21</f>
        <v>7.931</v>
      </c>
      <c r="W20" s="20">
        <f>1.23+1.46+5.21+0.876+1.39+0.455+3.68</f>
        <v>14.301</v>
      </c>
      <c r="X20" s="20">
        <f>1.23+1.46+5.21+0.876+1.39+0.455</f>
        <v>10.621</v>
      </c>
      <c r="Y20" s="20">
        <f>1.96+2.13+4.13+2.57+0.455</f>
        <v>11.244999999999999</v>
      </c>
      <c r="Z20" s="20">
        <f>1.96+2.13+4.13+2.57+0.455</f>
        <v>11.244999999999999</v>
      </c>
    </row>
    <row r="21" spans="1:26" x14ac:dyDescent="0.25">
      <c r="A21" s="21" t="s">
        <v>5</v>
      </c>
      <c r="B21" s="20">
        <f>1.34+2.57+0.455+0.684</f>
        <v>5.0490000000000004</v>
      </c>
      <c r="C21" s="20">
        <f>2.57+0.455+0.684</f>
        <v>3.7090000000000001</v>
      </c>
      <c r="D21" s="20">
        <f>2.57+0.455+0.684</f>
        <v>3.7090000000000001</v>
      </c>
      <c r="E21" s="20">
        <f>3.06+0.2+1.38+0.388+2.2+0.293+2.6+2.07+0.36</f>
        <v>12.551</v>
      </c>
      <c r="F21" s="20">
        <f>0.405+0.272+2.07+0.36+0.98+3.58+2.57+0.455+0.684</f>
        <v>11.375999999999999</v>
      </c>
      <c r="G21" s="20">
        <f>0.405+0.272+2.07+0.36+0.98+3.58+2.57+0.455+0.684</f>
        <v>11.375999999999999</v>
      </c>
      <c r="H21" s="20">
        <f>3.06+0.2+1.38+0.388+2.2+0.293+2.6+0.272+0.405+5.79</f>
        <v>16.588000000000001</v>
      </c>
      <c r="I21" s="20">
        <f>3.06+0.2+1.38+0.388+2.2+0.293+2.6+0.272+0.405+5.79+3.89</f>
        <v>20.478000000000002</v>
      </c>
      <c r="J21" s="20">
        <f>3.06+1.38+0.388+2.2+0.293+1.81+0.879+0.272+0.405+5.79+3.89+2.97</f>
        <v>23.337</v>
      </c>
      <c r="K21" s="20">
        <f>3.06+0.2+1.38+0.388+2.2+0.293+1.81</f>
        <v>9.3310000000000013</v>
      </c>
      <c r="L21" s="20">
        <f>3.06+0.2+1.38+0.388+2.2+0.293</f>
        <v>7.5210000000000008</v>
      </c>
      <c r="M21" s="20">
        <f>3.06+1.38</f>
        <v>4.4399999999999995</v>
      </c>
      <c r="N21" s="20">
        <f>3.06+0.2</f>
        <v>3.2600000000000002</v>
      </c>
      <c r="O21" s="20">
        <f>3.06+0.2</f>
        <v>3.2600000000000002</v>
      </c>
      <c r="P21" s="20">
        <f>3.06+0.2</f>
        <v>3.2600000000000002</v>
      </c>
      <c r="Q21" s="20">
        <f>3.06+0.2+3.1</f>
        <v>6.36</v>
      </c>
      <c r="R21" s="20">
        <f>3.72+3.1+3.06</f>
        <v>9.8800000000000008</v>
      </c>
      <c r="S21" s="20">
        <f>0.684</f>
        <v>0.68400000000000005</v>
      </c>
      <c r="T21" s="22">
        <v>0</v>
      </c>
      <c r="U21" s="20">
        <f>0.684+0.455+1.39+0.876</f>
        <v>3.4049999999999998</v>
      </c>
      <c r="V21" s="20">
        <f>0.684+0.455+1.39+0.876+5.21</f>
        <v>8.6150000000000002</v>
      </c>
      <c r="W21" s="20">
        <f>0.684+0.455+1.39+0.876+5.21+1.46+3.68</f>
        <v>13.754999999999999</v>
      </c>
      <c r="X21" s="20">
        <f>0.684+0.455+1.39+0.876+5.21+1.46+1.23</f>
        <v>11.305</v>
      </c>
      <c r="Y21" s="20">
        <f>1.96+2.13+2.82+1.34+2.57+0.455+0.684</f>
        <v>11.959</v>
      </c>
      <c r="Z21" s="20">
        <f>1.96+2.13+2.82+1.34+2.57+0.455+0.684</f>
        <v>11.959</v>
      </c>
    </row>
    <row r="22" spans="1:26" x14ac:dyDescent="0.25">
      <c r="A22" s="21" t="s">
        <v>17</v>
      </c>
      <c r="B22" s="20">
        <f>2.57+1.39+0.876+1.34</f>
        <v>6.1760000000000002</v>
      </c>
      <c r="C22" s="20">
        <f>2.57+1.39+0.876</f>
        <v>4.8360000000000003</v>
      </c>
      <c r="D22" s="20">
        <f>2.57+1.39+0.876</f>
        <v>4.8360000000000003</v>
      </c>
      <c r="E22" s="20">
        <f>0.876+1.39+2.57+3.58+0.98</f>
        <v>9.3960000000000008</v>
      </c>
      <c r="F22" s="23">
        <f>0.405+0.272+2.07+0.36+0.98+3.58+2.57+1.39+0.876</f>
        <v>12.503</v>
      </c>
      <c r="G22" s="23">
        <f>0.405+0.272+2.07+0.36+0.98+3.58+2.57+1.39+0.876</f>
        <v>12.503</v>
      </c>
      <c r="H22" s="20">
        <f>5.79+0.405+0.272+2.07+0.36+0.98+3.58+2.57+1.39+0.876</f>
        <v>18.293000000000003</v>
      </c>
      <c r="I22" s="20">
        <f>3.89+5.79+0.405+0.272+2.07+0.36+0.98+3.58+2.57+1.39+0.876</f>
        <v>22.183000000000003</v>
      </c>
      <c r="J22" s="20">
        <f>0.876+1.39+0.684+0.45+3.06+1.38+0.388+2.2+0.293+1.81+0.879+0.272+0.405+5.79+3.89+2.97</f>
        <v>26.736999999999998</v>
      </c>
      <c r="K22" s="20">
        <f>0.876+1.39+0.455+0.684+0.45+3.06+1.38+0.388+2.2+0.293+1.81</f>
        <v>12.986000000000002</v>
      </c>
      <c r="L22" s="20">
        <f>0.876+1.39+0.455+0.684+0.45+3.06+1.38+0.388+2.2+0.293</f>
        <v>11.176000000000002</v>
      </c>
      <c r="M22" s="20">
        <f>1.38+3.06+0.45+0.684+0.455+1.39+0.876</f>
        <v>8.2949999999999999</v>
      </c>
      <c r="N22" s="20">
        <f>3.06+0.45+0.684+0.455+1.39+0.876</f>
        <v>6.915</v>
      </c>
      <c r="O22" s="20">
        <f>3.06+0.45+0.684+0.455+1.39+0.876</f>
        <v>6.915</v>
      </c>
      <c r="P22" s="20">
        <f>3.06+0.45+0.684+0.455+1.39+0.876</f>
        <v>6.915</v>
      </c>
      <c r="Q22" s="20">
        <f>3.1+3.06+0.45+0.684+0.455+1.39+0.876</f>
        <v>10.015000000000001</v>
      </c>
      <c r="R22" s="20">
        <f>9.89+2.05+0.876</f>
        <v>12.816000000000001</v>
      </c>
      <c r="S22" s="20">
        <f>0.455+1.39+0.876</f>
        <v>2.7210000000000001</v>
      </c>
      <c r="T22" s="20">
        <f>0.684+0.455+1.39+0.876</f>
        <v>3.4049999999999998</v>
      </c>
      <c r="U22" s="22">
        <v>0</v>
      </c>
      <c r="V22" s="20">
        <v>5.21</v>
      </c>
      <c r="W22" s="20">
        <f>1.23+1.46+5.21+3.68</f>
        <v>11.58</v>
      </c>
      <c r="X22" s="20">
        <f>1.23+1.46+5.21</f>
        <v>7.9</v>
      </c>
      <c r="Y22" s="20">
        <f>4.14+1.23+1.46+5.21</f>
        <v>12.04</v>
      </c>
      <c r="Z22" s="20">
        <f>4.14+1.23+1.46+5.21</f>
        <v>12.04</v>
      </c>
    </row>
    <row r="23" spans="1:26" x14ac:dyDescent="0.25">
      <c r="A23" s="21" t="s">
        <v>26</v>
      </c>
      <c r="B23" s="20">
        <f>2.57+1.39+0.876+5.21+1.34</f>
        <v>11.385999999999999</v>
      </c>
      <c r="C23" s="20">
        <f>2.57+1.39+0.876+5.21</f>
        <v>10.045999999999999</v>
      </c>
      <c r="D23" s="20">
        <f>2.57+1.39+0.876+5.21</f>
        <v>10.045999999999999</v>
      </c>
      <c r="E23" s="20">
        <f>0.98+3.58+2.57+1.39+0.876+5.21</f>
        <v>14.606000000000002</v>
      </c>
      <c r="F23" s="23">
        <f>0.405+0.272+2.07+0.36+0.98+3.58+2.57+1.39+0.876+5.21</f>
        <v>17.713000000000001</v>
      </c>
      <c r="G23" s="23">
        <f>0.405+0.272+2.07+0.36+0.98+3.58+2.57+1.39+0.876+5.21</f>
        <v>17.713000000000001</v>
      </c>
      <c r="H23" s="20">
        <f>5.79+0.405+0.272+2.07+0.36+0.98+3.58+2.57+1.39+0.876+5.21</f>
        <v>23.503000000000004</v>
      </c>
      <c r="I23" s="20">
        <f>3.89+5.79+0.405+0.272+2.07+0.36+0.98+3.58+2.57+1.39+0.876+5.21</f>
        <v>27.393000000000004</v>
      </c>
      <c r="J23" s="20">
        <f>5.21+0.876+1.39+0.455+0.684+0.45+3.06+1.38+0.388+2.2+0.293+1.81+0.879+0.272+0.405+5.79+3.89+2.97</f>
        <v>32.402000000000001</v>
      </c>
      <c r="K23" s="20">
        <f>5.21+0.876+1.39+0.455+0.684+0.45+3.06+1.38+0.388+2.2+0.293+1.81</f>
        <v>18.195999999999998</v>
      </c>
      <c r="L23" s="20">
        <f>5.21+0.876+1.39+0.455+0.684+0.45+3.06+1.38+0.388+2.2+0.293</f>
        <v>16.385999999999999</v>
      </c>
      <c r="M23" s="20">
        <f>1.38+3.06+0.45+0.684+0.455+1.39+0.876+5.21</f>
        <v>13.504999999999999</v>
      </c>
      <c r="N23" s="20">
        <f>3.06+0.45+0.684+0.455+1.39+0.876+5.21</f>
        <v>12.125</v>
      </c>
      <c r="O23" s="20">
        <f>3.06+0.45+0.684+0.455+1.39+0.876+5.21</f>
        <v>12.125</v>
      </c>
      <c r="P23" s="20">
        <f>3.06+0.45+0.684+0.455+1.39+0.876+5.21</f>
        <v>12.125</v>
      </c>
      <c r="Q23" s="20">
        <f>3.1+3.06+0.45+0.684+0.455+1.39+0.876+5.21</f>
        <v>15.225000000000001</v>
      </c>
      <c r="R23" s="20">
        <f>9.89+2.05+0.876+5.21</f>
        <v>18.026</v>
      </c>
      <c r="S23" s="20">
        <f>0.455+1.39+0.876+5.21</f>
        <v>7.931</v>
      </c>
      <c r="T23" s="20">
        <f>0.684+0.455+1.39+0.876+5.21</f>
        <v>8.6150000000000002</v>
      </c>
      <c r="U23" s="20">
        <v>5.21</v>
      </c>
      <c r="V23" s="22">
        <v>0</v>
      </c>
      <c r="W23" s="20">
        <f>1.23+1.46+3.68</f>
        <v>6.37</v>
      </c>
      <c r="X23" s="20">
        <f>1.23+1.46</f>
        <v>2.69</v>
      </c>
      <c r="Y23" s="20">
        <f>4.14+1.23+1.46</f>
        <v>6.8299999999999992</v>
      </c>
      <c r="Z23" s="20">
        <f>4.14+1.23+1.46</f>
        <v>6.8299999999999992</v>
      </c>
    </row>
    <row r="24" spans="1:26" x14ac:dyDescent="0.25">
      <c r="A24" s="21" t="s">
        <v>28</v>
      </c>
      <c r="B24" s="20">
        <f>2.82+2.13+1.96+4.14+1.23+3.68</f>
        <v>15.959999999999999</v>
      </c>
      <c r="C24" s="20">
        <f>1.34+2.82+2.13+1.96+4.14+1.23+3.68</f>
        <v>17.3</v>
      </c>
      <c r="D24" s="20">
        <f>1.34+2.82+2.13+1.96+4.14+1.23+3.68</f>
        <v>17.3</v>
      </c>
      <c r="E24" s="20">
        <f>3.68+1.23+4.14+1.96+2.13+2.82+1.34+3.58+0.98</f>
        <v>21.860000000000003</v>
      </c>
      <c r="F24" s="20">
        <f>0.405+0.272+2.07+0.36+0.98+3.58+1.34+2.82+2.13+1.96+4.14+1.23+3.68</f>
        <v>24.967000000000002</v>
      </c>
      <c r="G24" s="20">
        <f>0.405+0.272+2.07+0.36+0.98+3.58+1.34+2.82+2.13+1.96+4.14+1.23+3.68</f>
        <v>24.967000000000002</v>
      </c>
      <c r="H24" s="20">
        <f>3.68+1.23+4.14+1.96+2.13+2.82+1.34+3.58+0.98+0.36+2.07+0.272+0.405+5.79</f>
        <v>30.757000000000001</v>
      </c>
      <c r="I24" s="20">
        <f>3.68+1.23+4.14+1.96+2.13+2.82+1.34+3.58+0.98+0.36+2.07+0.272+0.405+5.79+3.89</f>
        <v>34.646999999999998</v>
      </c>
      <c r="J24" s="20">
        <f>3.68+1.23+4.14+1.96+2.13+2.82+1.34+3.58+0.98+0.36+2.07+0.272+0.405+5.79+3.89+2.97</f>
        <v>37.616999999999997</v>
      </c>
      <c r="K24" s="20">
        <f>3.68+1.23+4.14+1.96+2.13+2.82+1.34+3.58+0.98+0.36+2.07+0.879</f>
        <v>25.169000000000004</v>
      </c>
      <c r="L24" s="20">
        <f>3.68+1.23+4.14+1.96+2.13+2.82+1.34+3.58+0.98+0.36+2.07+0.879+1.81</f>
        <v>26.979000000000003</v>
      </c>
      <c r="M24" s="20">
        <f>1.38+3.06+0.45+0.684+0.455+1.39+0.876+5.21+1.46+3.68</f>
        <v>18.645</v>
      </c>
      <c r="N24" s="20">
        <f t="shared" ref="N24:O24" si="6">3.68+1.46+5.21+0.876+1.39+0.455+0.684+0.45+3.06</f>
        <v>17.265000000000001</v>
      </c>
      <c r="O24" s="20">
        <f t="shared" si="6"/>
        <v>17.265000000000001</v>
      </c>
      <c r="P24" s="20">
        <f>3.68+1.46+5.21+0.876+1.39+0.455+0.684+0.45+3.06</f>
        <v>17.265000000000001</v>
      </c>
      <c r="Q24" s="20">
        <f>3.68+1.46+5.21+0.876+1.39+0.455+0.684+0.45+3.06+3.1</f>
        <v>20.365000000000002</v>
      </c>
      <c r="R24" s="20">
        <f>3.68+1.46+5.21+0.876+2.05+9.89</f>
        <v>23.166</v>
      </c>
      <c r="S24" s="20">
        <f>3.68+1.46+5.21+0.876+1.39+0.455</f>
        <v>13.071000000000002</v>
      </c>
      <c r="T24" s="20">
        <f>0.684+0.455+1.39+0.876+5.21+1.46+3.68</f>
        <v>13.754999999999999</v>
      </c>
      <c r="U24" s="20">
        <f>3.68+1.46+5.21</f>
        <v>10.350000000000001</v>
      </c>
      <c r="V24" s="20">
        <f>1.46+3.68</f>
        <v>5.1400000000000006</v>
      </c>
      <c r="W24" s="22">
        <v>0</v>
      </c>
      <c r="X24" s="20">
        <f>1.23+3.68</f>
        <v>4.91</v>
      </c>
      <c r="Y24" s="20">
        <f>4.14+1.23+3.68</f>
        <v>9.0499999999999989</v>
      </c>
      <c r="Z24" s="20">
        <f>4.14+1.23+3.68</f>
        <v>9.0499999999999989</v>
      </c>
    </row>
    <row r="25" spans="1:26" x14ac:dyDescent="0.25">
      <c r="A25" s="21" t="s">
        <v>1</v>
      </c>
      <c r="B25" s="20">
        <f>2.82+2.13+1.96+4.14</f>
        <v>11.049999999999999</v>
      </c>
      <c r="C25" s="20">
        <f>1.34+2.82+2.13+1.96+4.14</f>
        <v>12.39</v>
      </c>
      <c r="D25" s="20">
        <f>1.34+2.82+2.13+1.96+4.14</f>
        <v>12.39</v>
      </c>
      <c r="E25" s="20">
        <f>4.14+1.96+2.13+4.13+3.58+0.98</f>
        <v>16.919999999999998</v>
      </c>
      <c r="F25" s="20">
        <f>0.405+0.272+2.07+0.36+0.98+3.58+1.34+2.82+2.13+1.96+4.14</f>
        <v>20.057000000000002</v>
      </c>
      <c r="G25" s="20">
        <f>0.405+0.272+2.07+0.36+0.98+3.58+1.34+2.82+2.13+1.96+4.14</f>
        <v>20.057000000000002</v>
      </c>
      <c r="H25" s="20">
        <f>4.14+1.96+2.13+4.13+3.58+0.98+0.36+2.07+0.272+0.405+5.79</f>
        <v>25.816999999999997</v>
      </c>
      <c r="I25" s="20">
        <f>4.14+1.96+2.13+4.13+3.58+0.98+0.36+2.07+0.272+0.405+5.79+3.89</f>
        <v>29.706999999999997</v>
      </c>
      <c r="J25" s="20">
        <f>4.14+1.96+2.13+4.13+3.58+0.98+0.36+2.07+0.272+0.405+5.79+3.89+2.97</f>
        <v>32.677</v>
      </c>
      <c r="K25" s="20">
        <f>4.14+1.96+2.13+4.13+3.58+0.98+0.36+2.07+0.879</f>
        <v>20.228999999999999</v>
      </c>
      <c r="L25" s="20">
        <f>4.14+1.96+2.13+4.13+3.58+0.98+0.36+2.07+2.6</f>
        <v>21.95</v>
      </c>
      <c r="M25" s="20">
        <f>1.38+3.06+0.45+0.684+0.455+1.39+0.876+5.21+1.46+1.23</f>
        <v>16.195</v>
      </c>
      <c r="N25" s="20">
        <f>1.23+1.46+5.21+0.876+1.39+0.455+0.684+0.45+3.06</f>
        <v>14.815</v>
      </c>
      <c r="O25" s="20">
        <f>1.23+1.46+5.21+0.876+1.39+0.455+0.684+0.45+3.06</f>
        <v>14.815</v>
      </c>
      <c r="P25" s="20">
        <f>1.23+1.46+5.21+0.876+1.39+0.455+0.684+0.45+3.06</f>
        <v>14.815</v>
      </c>
      <c r="Q25" s="20">
        <f>1.23+1.46+5.21+0.876+1.39+0.455+0.684+0.45+3.06+3.1</f>
        <v>17.914999999999999</v>
      </c>
      <c r="R25" s="20">
        <f>1.23+1.46+5.21+0.876+2.05+9.89</f>
        <v>20.716000000000001</v>
      </c>
      <c r="S25" s="20">
        <f>1.23+1.46+5.21+0.876+1.39+0.455</f>
        <v>10.621</v>
      </c>
      <c r="T25" s="20">
        <f>0.684+0.455+1.39+0.876+5.21+1.46+1.23</f>
        <v>11.305</v>
      </c>
      <c r="U25" s="20">
        <f>1.23+1.46+5.21</f>
        <v>7.9</v>
      </c>
      <c r="V25" s="20">
        <f>1.23+1.46</f>
        <v>2.69</v>
      </c>
      <c r="W25" s="20">
        <f>1.23+3.68</f>
        <v>4.91</v>
      </c>
      <c r="X25" s="22">
        <v>0</v>
      </c>
      <c r="Y25" s="20">
        <v>4.1399999999999997</v>
      </c>
      <c r="Z25" s="20">
        <v>4.1399999999999997</v>
      </c>
    </row>
    <row r="26" spans="1:26" x14ac:dyDescent="0.25">
      <c r="A26" s="21" t="s">
        <v>27</v>
      </c>
      <c r="B26" s="20">
        <f>2.82+2.13+1.96</f>
        <v>6.9099999999999993</v>
      </c>
      <c r="C26" s="20">
        <f>1.34+2.82+2.13+1.96</f>
        <v>8.25</v>
      </c>
      <c r="D26" s="20">
        <f>1.34+2.82+2.13+1.96</f>
        <v>8.25</v>
      </c>
      <c r="E26" s="20">
        <f>1.96+2.13+4.13+3.58+0.98</f>
        <v>12.78</v>
      </c>
      <c r="F26" s="20">
        <f>0.405+0.272+2.07+0.36+0.98+3.58+1.34+2.82+2.13+1.96</f>
        <v>15.917000000000002</v>
      </c>
      <c r="G26" s="20">
        <f>0.405+0.272+2.07+0.36+0.98+3.58+1.34+2.82+2.13+1.96</f>
        <v>15.917000000000002</v>
      </c>
      <c r="H26" s="20">
        <f>1.96+2.13+4.13+3.58+0.98+0.36+2.07+0.272+0.405+5.79</f>
        <v>21.677</v>
      </c>
      <c r="I26" s="20">
        <f>1.96+2.13+4.13+3.58+0.98+0.36+2.07+0.272+0.405+5.79+3.89</f>
        <v>25.567</v>
      </c>
      <c r="J26" s="20">
        <f>1.96+2.13+4.13+3.58+0.98+0.36+2.07+0.272+0.405+5.79+3.89+2.97</f>
        <v>28.536999999999999</v>
      </c>
      <c r="K26" s="20">
        <f>1.96+2.13+4.13+3.58+0.98+0.36+2.07+0.879</f>
        <v>16.088999999999999</v>
      </c>
      <c r="L26" s="20">
        <f>1.96+2.13+4.13+3.58+0.98+0.36+2.07+2.6</f>
        <v>17.809999999999999</v>
      </c>
      <c r="M26" s="20">
        <f>1.96+2.13+4.13+3.58+0.98+0.36+2.07+0.879+1.81+0.293+2.2+0.388</f>
        <v>20.779999999999998</v>
      </c>
      <c r="N26" s="20">
        <f t="shared" ref="N26:P27" si="7">1.96+2.13+4.13+2.57+0.455+0.684+0.45+3.06</f>
        <v>15.438999999999998</v>
      </c>
      <c r="O26" s="20">
        <f t="shared" si="7"/>
        <v>15.438999999999998</v>
      </c>
      <c r="P26" s="20">
        <f t="shared" si="7"/>
        <v>15.438999999999998</v>
      </c>
      <c r="Q26" s="20">
        <f>1.96+2.13+4.13+2.57+0.455+0.684+0.45+3.06+3.1</f>
        <v>18.538999999999998</v>
      </c>
      <c r="R26" s="20">
        <f>3.72+3.1+3.06+0.45+0.684+0.455+2.57+1.34+2.82+2.13+1.96</f>
        <v>22.288999999999998</v>
      </c>
      <c r="S26" s="20">
        <f>1.96+2.13+4.13+2.57+0.455</f>
        <v>11.244999999999999</v>
      </c>
      <c r="T26" s="20">
        <f>1.96+2.13+2.82+1.34+2.57+0.455+0.684</f>
        <v>11.959</v>
      </c>
      <c r="U26" s="20">
        <f>4.14+1.23+1.46+5.21</f>
        <v>12.04</v>
      </c>
      <c r="V26" s="20">
        <f>4.14+1.23+1.46</f>
        <v>6.8299999999999992</v>
      </c>
      <c r="W26" s="20">
        <f>4.14+1.23+3.68</f>
        <v>9.0499999999999989</v>
      </c>
      <c r="X26" s="20">
        <v>4.1399999999999997</v>
      </c>
      <c r="Y26" s="22">
        <v>0</v>
      </c>
      <c r="Z26" s="22">
        <v>0</v>
      </c>
    </row>
    <row r="27" spans="1:26" x14ac:dyDescent="0.25">
      <c r="A27" s="21" t="s">
        <v>4</v>
      </c>
      <c r="B27" s="20">
        <f>2.82+2.13+1.96</f>
        <v>6.9099999999999993</v>
      </c>
      <c r="C27" s="20">
        <f>1.34+2.82+2.13+1.96</f>
        <v>8.25</v>
      </c>
      <c r="D27" s="20">
        <f>1.34+2.82+2.13+1.96</f>
        <v>8.25</v>
      </c>
      <c r="E27" s="20">
        <f>1.96+2.13+4.13+3.58+0.98</f>
        <v>12.78</v>
      </c>
      <c r="F27" s="20">
        <f>0.405+0.272+2.07+0.36+0.98+3.58+1.34+2.82+2.13+1.96</f>
        <v>15.917000000000002</v>
      </c>
      <c r="G27" s="20">
        <f>0.405+0.272+2.07+0.36+0.98+3.58+1.34+2.82+2.13+1.96</f>
        <v>15.917000000000002</v>
      </c>
      <c r="H27" s="20">
        <f>1.96+2.13+4.13+3.58+0.98+0.36+2.07+0.272+0.405+5.79</f>
        <v>21.677</v>
      </c>
      <c r="I27" s="20">
        <f>1.96+2.13+4.13+3.58+0.98+0.36+2.07+0.272+0.405+5.79+3.89</f>
        <v>25.567</v>
      </c>
      <c r="J27" s="20">
        <f>1.96+2.13+4.13+3.58+0.98+0.36+2.07+0.272+0.405+5.79+3.89+2.97</f>
        <v>28.536999999999999</v>
      </c>
      <c r="K27" s="20">
        <f>1.96+2.13+4.13+3.58+0.98+0.36+2.07+0.879</f>
        <v>16.088999999999999</v>
      </c>
      <c r="L27" s="20">
        <f>1.96+2.13+4.13+3.58+0.98+0.36+2.07+2.6</f>
        <v>17.809999999999999</v>
      </c>
      <c r="M27" s="20">
        <f>1.96+2.13+4.13+3.58+0.98+0.36+2.07+0.879+1.81+0.293+2.2+0.388</f>
        <v>20.779999999999998</v>
      </c>
      <c r="N27" s="20">
        <f t="shared" si="7"/>
        <v>15.438999999999998</v>
      </c>
      <c r="O27" s="20">
        <f t="shared" si="7"/>
        <v>15.438999999999998</v>
      </c>
      <c r="P27" s="20">
        <f t="shared" si="7"/>
        <v>15.438999999999998</v>
      </c>
      <c r="Q27" s="20">
        <f>1.96+2.13+4.13+2.57+0.455+0.684+0.45+3.06+3.1</f>
        <v>18.538999999999998</v>
      </c>
      <c r="R27" s="20">
        <f>3.72+3.1+3.06+0.45+0.684+0.455+2.57+1.34+2.82+2.13+1.96</f>
        <v>22.288999999999998</v>
      </c>
      <c r="S27" s="20">
        <f>1.96+2.13+4.13+2.57+0.455</f>
        <v>11.244999999999999</v>
      </c>
      <c r="T27" s="20">
        <f>1.96+2.13+2.82+1.34+2.57+0.455+0.684</f>
        <v>11.959</v>
      </c>
      <c r="U27" s="20">
        <f>4.14+1.23+1.46+5.21</f>
        <v>12.04</v>
      </c>
      <c r="V27" s="20">
        <f>4.14+1.23+1.46</f>
        <v>6.8299999999999992</v>
      </c>
      <c r="W27" s="20">
        <f>4.14+1.23+3.68</f>
        <v>9.0499999999999989</v>
      </c>
      <c r="X27" s="20">
        <v>4.1399999999999997</v>
      </c>
      <c r="Y27" s="22">
        <v>0</v>
      </c>
      <c r="Z27" s="22">
        <v>0</v>
      </c>
    </row>
  </sheetData>
  <sheetProtection algorithmName="SHA-512" hashValue="eyIT9DXuEUvX8tSsY4PQLS0uKJ6XmnaMFDSFNpmVisvOM9eo6OKvS5WA2UVB89rEMyjyjBM4rIRMsHIBNe2pUQ==" saltValue="ALaIqlooKXl/T5U1kurKlA==" spinCount="100000" sheet="1" objects="1" scenarios="1"/>
  <mergeCells count="1">
    <mergeCell ref="A1:Z1"/>
  </mergeCells>
  <pageMargins left="0.25" right="0.25" top="0.75" bottom="0.75" header="0.3" footer="0.3"/>
  <pageSetup paperSize="8" scale="5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Formulaire</vt:lpstr>
      <vt:lpstr>Tableau de référence</vt:lpstr>
      <vt:lpstr>Piéton</vt:lpstr>
      <vt:lpstr>Vélo</vt:lpstr>
      <vt:lpstr>Piéton!Zone_d_impression</vt:lpstr>
      <vt:lpstr>'Tableau de référence'!Zone_d_impression</vt:lpstr>
      <vt:lpstr>Vélo!Zone_d_impression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Bibliotheque</dc:creator>
  <cp:lastModifiedBy>Bibliotheque</cp:lastModifiedBy>
  <cp:lastPrinted>2018-08-08T13:52:30Z</cp:lastPrinted>
  <dcterms:created xsi:type="dcterms:W3CDTF">2018-02-20T09:36:32Z</dcterms:created>
  <dcterms:modified xsi:type="dcterms:W3CDTF">2018-08-08T13:53:20Z</dcterms:modified>
</cp:coreProperties>
</file>