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Z:\Serveur_CFD\Tourisme - Animation\Sentiers Randonnée\2. Liaisons douces\6. Simulateur de distance\"/>
    </mc:Choice>
  </mc:AlternateContent>
  <xr:revisionPtr revIDLastSave="0" documentId="10_ncr:8100000_{25725FD4-2BC9-469E-BE9D-26DF34BA6543}" xr6:coauthVersionLast="32" xr6:coauthVersionMax="32" xr10:uidLastSave="{00000000-0000-0000-0000-000000000000}"/>
  <bookViews>
    <workbookView xWindow="0" yWindow="0" windowWidth="20490" windowHeight="7230" xr2:uid="{00000000-000D-0000-FFFF-FFFF00000000}"/>
  </bookViews>
  <sheets>
    <sheet name="Simulateur" sheetId="5" r:id="rId1"/>
    <sheet name="Tableau de référence" sheetId="10"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0" l="1"/>
  <c r="L4" i="10"/>
  <c r="L5" i="10"/>
  <c r="L6" i="10"/>
  <c r="L7" i="10"/>
  <c r="L8" i="10"/>
  <c r="L9" i="10"/>
  <c r="L10" i="10"/>
  <c r="L12" i="10"/>
  <c r="L13" i="10"/>
  <c r="L15" i="10"/>
  <c r="L16" i="10"/>
  <c r="L18" i="10"/>
  <c r="L19" i="10"/>
  <c r="L20" i="10"/>
  <c r="T11" i="10" l="1"/>
  <c r="S11" i="10"/>
  <c r="R11" i="10"/>
  <c r="Q11" i="10"/>
  <c r="P11" i="10"/>
  <c r="O11" i="10"/>
  <c r="N11" i="10"/>
  <c r="M11" i="10"/>
  <c r="K11" i="10"/>
  <c r="J11" i="10"/>
  <c r="I11" i="10"/>
  <c r="H11" i="10"/>
  <c r="F11" i="10"/>
  <c r="E11" i="10"/>
  <c r="C11" i="10"/>
  <c r="B11" i="10"/>
  <c r="U44" i="10"/>
  <c r="U43" i="10"/>
  <c r="U42" i="10"/>
  <c r="U41" i="10"/>
  <c r="U39" i="10"/>
  <c r="U38" i="10"/>
  <c r="U36" i="10"/>
  <c r="U35" i="10"/>
  <c r="U33" i="10"/>
  <c r="U32" i="10"/>
  <c r="U31" i="10"/>
  <c r="U30" i="10"/>
  <c r="U29" i="10"/>
  <c r="U28" i="10"/>
  <c r="U27" i="10"/>
  <c r="U26" i="10"/>
  <c r="T34" i="10"/>
  <c r="S34" i="10"/>
  <c r="R34" i="10"/>
  <c r="Q34" i="10"/>
  <c r="P34" i="10"/>
  <c r="O34" i="10"/>
  <c r="N34" i="10"/>
  <c r="M34" i="10"/>
  <c r="K34" i="10"/>
  <c r="J34" i="10"/>
  <c r="I34" i="10"/>
  <c r="H34" i="10"/>
  <c r="F34" i="10"/>
  <c r="E34" i="10"/>
  <c r="C34" i="10"/>
  <c r="B34" i="10"/>
  <c r="B25" i="10"/>
  <c r="T44" i="10"/>
  <c r="S44" i="10"/>
  <c r="R44" i="10"/>
  <c r="Q44" i="10"/>
  <c r="O44" i="10"/>
  <c r="N44" i="10"/>
  <c r="M44" i="10"/>
  <c r="L44" i="10"/>
  <c r="J44" i="10"/>
  <c r="I44" i="10"/>
  <c r="H44" i="10"/>
  <c r="G44" i="10"/>
  <c r="F44" i="10"/>
  <c r="E44" i="10"/>
  <c r="D44" i="10"/>
  <c r="C44" i="10"/>
  <c r="B44" i="10"/>
  <c r="D16" i="5" l="1"/>
  <c r="K43" i="10"/>
  <c r="K42" i="10"/>
  <c r="K41" i="10"/>
  <c r="K40" i="10"/>
  <c r="K39" i="10"/>
  <c r="K38" i="10"/>
  <c r="K37" i="10"/>
  <c r="K36" i="10"/>
  <c r="K35" i="10"/>
  <c r="K33" i="10"/>
  <c r="K32" i="10"/>
  <c r="K31" i="10"/>
  <c r="K30" i="10"/>
  <c r="K28" i="10"/>
  <c r="K27" i="10"/>
  <c r="K26" i="10"/>
  <c r="K25" i="10"/>
  <c r="M25" i="10"/>
  <c r="N25" i="10"/>
  <c r="O25" i="10"/>
  <c r="P25" i="10"/>
  <c r="Q25" i="10"/>
  <c r="R25" i="10"/>
  <c r="S25" i="10"/>
  <c r="T25" i="10"/>
  <c r="P33" i="10"/>
  <c r="P32" i="10"/>
  <c r="P31" i="10"/>
  <c r="P30" i="10"/>
  <c r="T29" i="10"/>
  <c r="S29" i="10"/>
  <c r="J33" i="10"/>
  <c r="J30" i="10"/>
  <c r="J29" i="10"/>
  <c r="J28" i="10"/>
  <c r="J27" i="10"/>
  <c r="J26" i="10"/>
  <c r="J25" i="10"/>
  <c r="Q43" i="10"/>
  <c r="P43" i="10"/>
  <c r="O43" i="10"/>
  <c r="N43" i="10"/>
  <c r="M43" i="10"/>
  <c r="J42" i="10" l="1"/>
  <c r="J41" i="10"/>
  <c r="J40" i="10"/>
  <c r="J39" i="10"/>
  <c r="J38" i="10"/>
  <c r="J37" i="10"/>
  <c r="J36" i="10"/>
  <c r="I43" i="10"/>
  <c r="E43" i="10"/>
  <c r="C43" i="10"/>
  <c r="T31" i="10"/>
  <c r="R30" i="10"/>
  <c r="R29" i="10"/>
  <c r="R28" i="10"/>
  <c r="R27" i="10"/>
  <c r="R26" i="10"/>
  <c r="Q31" i="10"/>
  <c r="O31" i="10"/>
  <c r="N31" i="10"/>
  <c r="M31" i="10"/>
  <c r="L31" i="10"/>
  <c r="R42" i="10"/>
  <c r="R41" i="10"/>
  <c r="R40" i="10"/>
  <c r="R39" i="10"/>
  <c r="R38" i="10"/>
  <c r="R37" i="10"/>
  <c r="R36" i="10"/>
  <c r="I31" i="10"/>
  <c r="E31" i="10"/>
  <c r="C31" i="10"/>
  <c r="Q29" i="10" l="1"/>
  <c r="P28" i="10"/>
  <c r="P27" i="10"/>
  <c r="P26" i="10"/>
  <c r="O29" i="10"/>
  <c r="N29" i="10"/>
  <c r="M29" i="10"/>
  <c r="L29" i="10"/>
  <c r="P42" i="10"/>
  <c r="P41" i="10"/>
  <c r="P40" i="10"/>
  <c r="P39" i="10"/>
  <c r="P38" i="10"/>
  <c r="P37" i="10"/>
  <c r="P36" i="10"/>
  <c r="P35" i="10"/>
  <c r="I29" i="10"/>
  <c r="H29" i="10"/>
  <c r="G29" i="10"/>
  <c r="F29" i="10"/>
  <c r="E29" i="10"/>
  <c r="D29" i="10"/>
  <c r="C29" i="10"/>
  <c r="B29" i="10"/>
  <c r="B6" i="10"/>
  <c r="S33" i="10"/>
  <c r="S30" i="10"/>
  <c r="S28" i="10"/>
  <c r="S27" i="10"/>
  <c r="S26" i="10"/>
  <c r="S42" i="10"/>
  <c r="S40" i="10"/>
  <c r="S39" i="10"/>
  <c r="S38" i="10"/>
  <c r="S37" i="10"/>
  <c r="S36" i="10"/>
  <c r="S35" i="10"/>
  <c r="T32" i="10"/>
  <c r="Q32" i="10"/>
  <c r="O32" i="10"/>
  <c r="N32" i="10"/>
  <c r="M32" i="10"/>
  <c r="G32" i="10"/>
  <c r="E32" i="10"/>
  <c r="E9" i="10"/>
  <c r="C32" i="10"/>
  <c r="B32" i="10"/>
  <c r="L32" i="10"/>
  <c r="I32" i="10"/>
  <c r="F32" i="10"/>
  <c r="D32" i="10"/>
  <c r="S10" i="10"/>
  <c r="S7" i="10"/>
  <c r="S6" i="10"/>
  <c r="S5" i="10"/>
  <c r="S4" i="10"/>
  <c r="S3" i="10"/>
  <c r="S2" i="10"/>
  <c r="S21" i="10"/>
  <c r="S19" i="10"/>
  <c r="S17" i="10"/>
  <c r="S16" i="10"/>
  <c r="S15" i="10"/>
  <c r="S14" i="10"/>
  <c r="S13" i="10"/>
  <c r="S12" i="10"/>
  <c r="T9" i="10"/>
  <c r="Q9" i="10"/>
  <c r="P9" i="10"/>
  <c r="O9" i="10"/>
  <c r="N9" i="10"/>
  <c r="M9" i="10"/>
  <c r="K9" i="10"/>
  <c r="I9" i="10"/>
  <c r="G9" i="10"/>
  <c r="F9" i="10"/>
  <c r="D9" i="10"/>
  <c r="C9" i="10"/>
  <c r="B9" i="10"/>
  <c r="L26" i="10"/>
  <c r="L27" i="10"/>
  <c r="L28" i="10"/>
  <c r="L30" i="10"/>
  <c r="L33" i="10"/>
  <c r="R33" i="10"/>
  <c r="R21" i="10"/>
  <c r="R19" i="10"/>
  <c r="R18" i="10"/>
  <c r="R17" i="10"/>
  <c r="R16" i="10"/>
  <c r="R15" i="10"/>
  <c r="R14" i="10"/>
  <c r="R13" i="10"/>
  <c r="R10" i="10"/>
  <c r="R7" i="10"/>
  <c r="R6" i="10"/>
  <c r="R5" i="10"/>
  <c r="R4" i="10"/>
  <c r="R3" i="10"/>
  <c r="R2" i="10"/>
  <c r="O42" i="10"/>
  <c r="O41" i="10"/>
  <c r="O40" i="10"/>
  <c r="O39" i="10"/>
  <c r="O38" i="10"/>
  <c r="O37" i="10"/>
  <c r="O35" i="10"/>
  <c r="O33" i="10"/>
  <c r="O30" i="10"/>
  <c r="O26" i="10"/>
  <c r="O21" i="10"/>
  <c r="O20" i="10"/>
  <c r="O19" i="10"/>
  <c r="O18" i="10"/>
  <c r="O17" i="10"/>
  <c r="O16" i="10"/>
  <c r="O15" i="10"/>
  <c r="O14" i="10"/>
  <c r="O12" i="10"/>
  <c r="O10" i="10"/>
  <c r="O8" i="10"/>
  <c r="O7" i="10"/>
  <c r="O3" i="10"/>
  <c r="O2" i="10"/>
  <c r="G31" i="10"/>
  <c r="D31" i="10"/>
  <c r="H31" i="10"/>
  <c r="F31" i="10"/>
  <c r="G8" i="10"/>
  <c r="H8" i="10"/>
  <c r="T8" i="10"/>
  <c r="F8" i="10"/>
  <c r="E8" i="10"/>
  <c r="Q8" i="10"/>
  <c r="K8" i="10"/>
  <c r="P8" i="10"/>
  <c r="N8" i="10"/>
  <c r="C8" i="10"/>
  <c r="I8" i="10"/>
  <c r="M8" i="10"/>
  <c r="G28" i="10"/>
  <c r="D28" i="10"/>
  <c r="H28" i="10"/>
  <c r="T28" i="10"/>
  <c r="F28" i="10"/>
  <c r="B28" i="10"/>
  <c r="E28" i="10"/>
  <c r="Q28" i="10"/>
  <c r="I28" i="10"/>
  <c r="M28" i="10"/>
  <c r="G5" i="10"/>
  <c r="D5" i="10"/>
  <c r="H5" i="10"/>
  <c r="T5" i="10"/>
  <c r="F5" i="10"/>
  <c r="B5" i="10"/>
  <c r="J5" i="10"/>
  <c r="E5" i="10"/>
  <c r="Q5" i="10"/>
  <c r="K5" i="10"/>
  <c r="I5" i="10"/>
  <c r="M5" i="10"/>
  <c r="H25" i="10"/>
  <c r="F25" i="10"/>
  <c r="E25" i="10"/>
  <c r="C25" i="10"/>
  <c r="I25" i="10"/>
  <c r="H2" i="10"/>
  <c r="T2" i="10"/>
  <c r="F2" i="10"/>
  <c r="B2" i="10"/>
  <c r="J2" i="10"/>
  <c r="E2" i="10"/>
  <c r="Q2" i="10"/>
  <c r="K2" i="10"/>
  <c r="P2" i="10"/>
  <c r="N2" i="10"/>
  <c r="C2" i="10"/>
  <c r="I2" i="10"/>
  <c r="M2" i="10"/>
  <c r="H40" i="10"/>
  <c r="T40" i="10"/>
  <c r="F40" i="10"/>
  <c r="B40" i="10"/>
  <c r="E40" i="10"/>
  <c r="Q40" i="10"/>
  <c r="N40" i="10"/>
  <c r="C40" i="10"/>
  <c r="I40" i="10"/>
  <c r="M40" i="10"/>
  <c r="H37" i="10"/>
  <c r="T37" i="10"/>
  <c r="F37" i="10"/>
  <c r="B37" i="10"/>
  <c r="E37" i="10"/>
  <c r="Q37" i="10"/>
  <c r="N37" i="10"/>
  <c r="C37" i="10"/>
  <c r="I37" i="10"/>
  <c r="M37" i="10"/>
  <c r="G41" i="10"/>
  <c r="L41" i="10"/>
  <c r="D41" i="10"/>
  <c r="T41" i="10"/>
  <c r="F41" i="10"/>
  <c r="B41" i="10"/>
  <c r="E41" i="10"/>
  <c r="Q41" i="10"/>
  <c r="N41" i="10"/>
  <c r="C41" i="10"/>
  <c r="I41" i="10"/>
  <c r="M41" i="10"/>
  <c r="G33" i="10"/>
  <c r="D33" i="10"/>
  <c r="H33" i="10"/>
  <c r="F33" i="10"/>
  <c r="B33" i="10"/>
  <c r="E33" i="10"/>
  <c r="Q33" i="10"/>
  <c r="N33" i="10"/>
  <c r="C33" i="10"/>
  <c r="I33" i="10"/>
  <c r="M33" i="10"/>
  <c r="G39" i="10"/>
  <c r="L39" i="10"/>
  <c r="D39" i="10"/>
  <c r="H39" i="10"/>
  <c r="T39" i="10"/>
  <c r="E39" i="10"/>
  <c r="Q39" i="10"/>
  <c r="N39" i="10"/>
  <c r="C39" i="10"/>
  <c r="I39" i="10"/>
  <c r="M39" i="10"/>
  <c r="G35" i="10"/>
  <c r="L35" i="10"/>
  <c r="D35" i="10"/>
  <c r="H35" i="10"/>
  <c r="T35" i="10"/>
  <c r="E35" i="10"/>
  <c r="Q35" i="10"/>
  <c r="N35" i="10"/>
  <c r="C35" i="10"/>
  <c r="I35" i="10"/>
  <c r="M35" i="10"/>
  <c r="G43" i="10"/>
  <c r="L43" i="10"/>
  <c r="D43" i="10"/>
  <c r="H43" i="10"/>
  <c r="T43" i="10"/>
  <c r="F43" i="10"/>
  <c r="G38" i="10"/>
  <c r="L38" i="10"/>
  <c r="D38" i="10"/>
  <c r="H38" i="10"/>
  <c r="T38" i="10"/>
  <c r="F38" i="10"/>
  <c r="B38" i="10"/>
  <c r="Q38" i="10"/>
  <c r="N38" i="10"/>
  <c r="C38" i="10"/>
  <c r="I38" i="10"/>
  <c r="M38" i="10"/>
  <c r="G30" i="10"/>
  <c r="D30" i="10"/>
  <c r="H30" i="10"/>
  <c r="T30" i="10"/>
  <c r="F30" i="10"/>
  <c r="B30" i="10"/>
  <c r="E30" i="10"/>
  <c r="N30" i="10"/>
  <c r="C30" i="10"/>
  <c r="I30" i="10"/>
  <c r="M30" i="10"/>
  <c r="G27" i="10"/>
  <c r="D27" i="10"/>
  <c r="H27" i="10"/>
  <c r="T27" i="10"/>
  <c r="F27" i="10"/>
  <c r="B27" i="10"/>
  <c r="E27" i="10"/>
  <c r="Q27" i="10"/>
  <c r="I27" i="10"/>
  <c r="M27" i="10"/>
  <c r="G36" i="10"/>
  <c r="L36" i="10"/>
  <c r="D36" i="10"/>
  <c r="H36" i="10"/>
  <c r="T36" i="10"/>
  <c r="F36" i="10"/>
  <c r="B36" i="10"/>
  <c r="E36" i="10"/>
  <c r="Q36" i="10"/>
  <c r="I36" i="10"/>
  <c r="M36" i="10"/>
  <c r="G42" i="10"/>
  <c r="L42" i="10"/>
  <c r="D42" i="10"/>
  <c r="H42" i="10"/>
  <c r="T42" i="10"/>
  <c r="F42" i="10"/>
  <c r="B42" i="10"/>
  <c r="E42" i="10"/>
  <c r="Q42" i="10"/>
  <c r="N42" i="10"/>
  <c r="C42" i="10"/>
  <c r="G26" i="10"/>
  <c r="D26" i="10"/>
  <c r="H26" i="10"/>
  <c r="T26" i="10"/>
  <c r="F26" i="10"/>
  <c r="B26" i="10"/>
  <c r="E26" i="10"/>
  <c r="Q26" i="10"/>
  <c r="N26" i="10"/>
  <c r="C26" i="10"/>
  <c r="H17" i="10"/>
  <c r="T17" i="10"/>
  <c r="F17" i="10"/>
  <c r="B17" i="10"/>
  <c r="J17" i="10"/>
  <c r="E17" i="10"/>
  <c r="Q17" i="10"/>
  <c r="K17" i="10"/>
  <c r="P17" i="10"/>
  <c r="N17" i="10"/>
  <c r="C17" i="10"/>
  <c r="I17" i="10"/>
  <c r="M17" i="10"/>
  <c r="H14" i="10"/>
  <c r="T14" i="10"/>
  <c r="F14" i="10"/>
  <c r="B14" i="10"/>
  <c r="J14" i="10"/>
  <c r="E14" i="10"/>
  <c r="Q14" i="10"/>
  <c r="K14" i="10"/>
  <c r="P14" i="10"/>
  <c r="N14" i="10"/>
  <c r="C14" i="10"/>
  <c r="I14" i="10"/>
  <c r="M14" i="10"/>
  <c r="G18" i="10"/>
  <c r="D18" i="10"/>
  <c r="T18" i="10"/>
  <c r="F18" i="10"/>
  <c r="B18" i="10"/>
  <c r="J18" i="10"/>
  <c r="E18" i="10"/>
  <c r="Q18" i="10"/>
  <c r="K18" i="10"/>
  <c r="P18" i="10"/>
  <c r="N18" i="10"/>
  <c r="C18" i="10"/>
  <c r="I18" i="10"/>
  <c r="M18" i="10"/>
  <c r="G10" i="10"/>
  <c r="D10" i="10"/>
  <c r="H10" i="10"/>
  <c r="F10" i="10"/>
  <c r="B10" i="10"/>
  <c r="J10" i="10"/>
  <c r="E10" i="10"/>
  <c r="Q10" i="10"/>
  <c r="K10" i="10"/>
  <c r="P10" i="10"/>
  <c r="N10" i="10"/>
  <c r="C10" i="10"/>
  <c r="I10" i="10"/>
  <c r="M10" i="10"/>
  <c r="G16" i="10"/>
  <c r="D16" i="10"/>
  <c r="H16" i="10"/>
  <c r="T16" i="10"/>
  <c r="J16" i="10"/>
  <c r="E16" i="10"/>
  <c r="Q16" i="10"/>
  <c r="K16" i="10"/>
  <c r="P16" i="10"/>
  <c r="N16" i="10"/>
  <c r="C16" i="10"/>
  <c r="I16" i="10"/>
  <c r="M16" i="10"/>
  <c r="G12" i="10"/>
  <c r="D12" i="10"/>
  <c r="H12" i="10"/>
  <c r="T12" i="10"/>
  <c r="E12" i="10"/>
  <c r="Q12" i="10"/>
  <c r="K12" i="10"/>
  <c r="P12" i="10"/>
  <c r="N12" i="10"/>
  <c r="C12" i="10"/>
  <c r="I12" i="10"/>
  <c r="M12" i="10"/>
  <c r="G20" i="10"/>
  <c r="H20" i="10"/>
  <c r="T20" i="10"/>
  <c r="F20" i="10"/>
  <c r="E20" i="10"/>
  <c r="Q20" i="10"/>
  <c r="K20" i="10"/>
  <c r="P20" i="10"/>
  <c r="N20" i="10"/>
  <c r="C20" i="10"/>
  <c r="I20" i="10"/>
  <c r="M20" i="10"/>
  <c r="G15" i="10"/>
  <c r="D15" i="10"/>
  <c r="H15" i="10"/>
  <c r="T15" i="10"/>
  <c r="F15" i="10"/>
  <c r="B15" i="10"/>
  <c r="J15" i="10"/>
  <c r="Q15" i="10"/>
  <c r="K15" i="10"/>
  <c r="P15" i="10"/>
  <c r="N15" i="10"/>
  <c r="C15" i="10"/>
  <c r="I15" i="10"/>
  <c r="M15" i="10"/>
  <c r="G7" i="10"/>
  <c r="D7" i="10"/>
  <c r="H7" i="10"/>
  <c r="T7" i="10"/>
  <c r="F7" i="10"/>
  <c r="B7" i="10"/>
  <c r="J7" i="10"/>
  <c r="E7" i="10"/>
  <c r="K7" i="10"/>
  <c r="P7" i="10"/>
  <c r="N7" i="10"/>
  <c r="C7" i="10"/>
  <c r="I7" i="10"/>
  <c r="M7" i="10"/>
  <c r="G21" i="10"/>
  <c r="L21" i="10"/>
  <c r="D21" i="10"/>
  <c r="H21" i="10"/>
  <c r="T21" i="10"/>
  <c r="F21" i="10"/>
  <c r="B21" i="10"/>
  <c r="J21" i="10"/>
  <c r="E21" i="10"/>
  <c r="Q21" i="10"/>
  <c r="N21" i="10"/>
  <c r="C21" i="10"/>
  <c r="I21" i="10"/>
  <c r="M21" i="10"/>
  <c r="G6" i="10"/>
  <c r="D6" i="10"/>
  <c r="H6" i="10"/>
  <c r="T6" i="10"/>
  <c r="F6" i="10"/>
  <c r="J6" i="10"/>
  <c r="E6" i="10"/>
  <c r="Q6" i="10"/>
  <c r="I6" i="10"/>
  <c r="M6" i="10"/>
  <c r="G4" i="10"/>
  <c r="D4" i="10"/>
  <c r="H4" i="10"/>
  <c r="T4" i="10"/>
  <c r="F4" i="10"/>
  <c r="B4" i="10"/>
  <c r="J4" i="10"/>
  <c r="E4" i="10"/>
  <c r="Q4" i="10"/>
  <c r="K4" i="10"/>
  <c r="I4" i="10"/>
  <c r="M4" i="10"/>
  <c r="G13" i="10"/>
  <c r="D13" i="10"/>
  <c r="H13" i="10"/>
  <c r="T13" i="10"/>
  <c r="F13" i="10"/>
  <c r="B13" i="10"/>
  <c r="J13" i="10"/>
  <c r="E13" i="10"/>
  <c r="Q13" i="10"/>
  <c r="K13" i="10"/>
  <c r="I13" i="10"/>
  <c r="M13" i="10"/>
  <c r="G19" i="10"/>
  <c r="D19" i="10"/>
  <c r="H19" i="10"/>
  <c r="T19" i="10"/>
  <c r="F19" i="10"/>
  <c r="B19" i="10"/>
  <c r="J19" i="10"/>
  <c r="E19" i="10"/>
  <c r="Q19" i="10"/>
  <c r="K19" i="10"/>
  <c r="P19" i="10"/>
  <c r="N19" i="10"/>
  <c r="C19" i="10"/>
  <c r="G3" i="10"/>
  <c r="D3" i="10"/>
  <c r="H3" i="10"/>
  <c r="T3" i="10"/>
  <c r="F3" i="10"/>
  <c r="B3" i="10"/>
  <c r="J3" i="10"/>
  <c r="E3" i="10"/>
  <c r="Q3" i="10"/>
  <c r="K3" i="10"/>
  <c r="P3" i="10"/>
  <c r="N3" i="10"/>
  <c r="C3" i="10"/>
  <c r="H16" i="5" l="1"/>
  <c r="F16" i="5" l="1"/>
</calcChain>
</file>

<file path=xl/sharedStrings.xml><?xml version="1.0" encoding="utf-8"?>
<sst xmlns="http://schemas.openxmlformats.org/spreadsheetml/2006/main" count="122" uniqueCount="48">
  <si>
    <t>Bannans</t>
  </si>
  <si>
    <t>Boujailles</t>
  </si>
  <si>
    <t>Bouverans</t>
  </si>
  <si>
    <t>Bulle</t>
  </si>
  <si>
    <t>Courvières</t>
  </si>
  <si>
    <t>Dompierre-les-Tilleuls</t>
  </si>
  <si>
    <t>Frasne</t>
  </si>
  <si>
    <t>Vaux-et-Chantegrue</t>
  </si>
  <si>
    <t>La-Rivière-Drugeon</t>
  </si>
  <si>
    <t>Bonnevaux</t>
  </si>
  <si>
    <t>à pied</t>
  </si>
  <si>
    <t>à vélo</t>
  </si>
  <si>
    <t>Je dois prévoir d'effectuer</t>
  </si>
  <si>
    <t>Je souhaite me déplacer</t>
  </si>
  <si>
    <t>A vélo</t>
  </si>
  <si>
    <t>A pied</t>
  </si>
  <si>
    <t>heures et</t>
  </si>
  <si>
    <t>Je souhaite aller à</t>
  </si>
  <si>
    <t>en partant de</t>
  </si>
  <si>
    <t>km soit</t>
  </si>
  <si>
    <t>minutes de trajet.</t>
  </si>
  <si>
    <t>.</t>
  </si>
  <si>
    <t>Simulateur d'itinéraire</t>
  </si>
  <si>
    <t>Liaisons douces de la Communauté de Communes du Plateau de Frasne et du Val du Drugeon</t>
  </si>
  <si>
    <t>Bienvenue dans le simulateur d'itinéraire des liaisons douces de la Communauté de Communes du Plateau de Frasne et du Val du Drugeon.
Grâce à ce document, vous allez pouvoir calculer automatiquement les distances et les durées que vous prendront vos balades sur les liaisons douces du territoire.</t>
  </si>
  <si>
    <t>Pour cela, il suffit de renseigner les cases en jaunes.</t>
  </si>
  <si>
    <t>Cliquez sur les cases jaunes et faites défiler le menu déroulant à l'aide de la flèche sur la droite de la case. Choisissez votre mode de locomotion, puis votre lieu de départ et votre lieu d'arrivée. Recommencez autant de fois que nécessaire l'opération.</t>
  </si>
  <si>
    <t>(Les cases en orange se remplissent automatiquement selon les renseignements donnés dans les cases jaunes.)</t>
  </si>
  <si>
    <r>
      <rPr>
        <b/>
        <sz val="11"/>
        <color theme="1"/>
        <rFont val="Calibri"/>
        <family val="2"/>
        <scheme val="minor"/>
      </rPr>
      <t xml:space="preserve">Animation 3 : </t>
    </r>
    <r>
      <rPr>
        <sz val="11"/>
        <color theme="1"/>
        <rFont val="Calibri"/>
        <family val="2"/>
        <scheme val="minor"/>
      </rPr>
      <t>Visite de la Pastorale à Bonnevaux</t>
    </r>
  </si>
  <si>
    <r>
      <rPr>
        <b/>
        <sz val="11"/>
        <color theme="1"/>
        <rFont val="Calibri"/>
        <family val="2"/>
        <scheme val="minor"/>
      </rPr>
      <t>Animation 5 :</t>
    </r>
    <r>
      <rPr>
        <sz val="11"/>
        <color theme="1"/>
        <rFont val="Calibri"/>
        <family val="2"/>
        <scheme val="minor"/>
      </rPr>
      <t xml:space="preserve"> Initiation à l'orientation au site nordique de Vaux-et-Chantegrue</t>
    </r>
  </si>
  <si>
    <r>
      <rPr>
        <b/>
        <sz val="11"/>
        <color theme="1"/>
        <rFont val="Calibri"/>
        <family val="2"/>
        <scheme val="minor"/>
      </rPr>
      <t xml:space="preserve">Animation 6 : </t>
    </r>
    <r>
      <rPr>
        <sz val="11"/>
        <color theme="1"/>
        <rFont val="Calibri"/>
        <family val="2"/>
        <scheme val="minor"/>
      </rPr>
      <t>Maraudage au Lac de Bouverans</t>
    </r>
  </si>
  <si>
    <r>
      <rPr>
        <b/>
        <sz val="11"/>
        <color theme="1"/>
        <rFont val="Calibri"/>
        <family val="2"/>
        <scheme val="minor"/>
      </rPr>
      <t xml:space="preserve">Animation 1 : </t>
    </r>
    <r>
      <rPr>
        <sz val="11"/>
        <color theme="1"/>
        <rFont val="Calibri"/>
        <family val="2"/>
        <scheme val="minor"/>
      </rPr>
      <t>Barbecue et amusements à Courvières</t>
    </r>
  </si>
  <si>
    <r>
      <rPr>
        <b/>
        <sz val="11"/>
        <color theme="1"/>
        <rFont val="Calibri"/>
        <family val="2"/>
        <scheme val="minor"/>
      </rPr>
      <t>Animation 2 :</t>
    </r>
    <r>
      <rPr>
        <sz val="11"/>
        <color theme="1"/>
        <rFont val="Calibri"/>
        <family val="2"/>
        <scheme val="minor"/>
      </rPr>
      <t xml:space="preserve"> Découverte de vélos électriques au chalet de ski de Frasne</t>
    </r>
  </si>
  <si>
    <r>
      <rPr>
        <b/>
        <sz val="11"/>
        <color theme="1"/>
        <rFont val="Calibri"/>
        <family val="2"/>
        <scheme val="minor"/>
      </rPr>
      <t xml:space="preserve">Animation 4 : </t>
    </r>
    <r>
      <rPr>
        <sz val="11"/>
        <color theme="1"/>
        <rFont val="Calibri"/>
        <family val="2"/>
        <scheme val="minor"/>
      </rPr>
      <t>Promenade en terre pastorale à Bonnevaux</t>
    </r>
  </si>
  <si>
    <r>
      <rPr>
        <b/>
        <sz val="11"/>
        <color theme="1"/>
        <rFont val="Calibri"/>
        <family val="2"/>
        <scheme val="minor"/>
      </rPr>
      <t>Animation 7 :</t>
    </r>
    <r>
      <rPr>
        <sz val="11"/>
        <color theme="1"/>
        <rFont val="Calibri"/>
        <family val="2"/>
        <scheme val="minor"/>
      </rPr>
      <t xml:space="preserve"> Exposition "Sauvages des rues" à La Rivière Drugeon</t>
    </r>
  </si>
  <si>
    <r>
      <rPr>
        <b/>
        <sz val="11"/>
        <color theme="1"/>
        <rFont val="Calibri"/>
        <family val="2"/>
        <scheme val="minor"/>
      </rPr>
      <t>Animation 8 :</t>
    </r>
    <r>
      <rPr>
        <sz val="11"/>
        <color theme="1"/>
        <rFont val="Calibri"/>
        <family val="2"/>
        <scheme val="minor"/>
      </rPr>
      <t xml:space="preserve"> Des oiseaux protégés tout à coté de chez moi, entre Dompierre-les-Tilleuls et La-Rivière-Drugeon</t>
    </r>
  </si>
  <si>
    <r>
      <rPr>
        <b/>
        <sz val="11"/>
        <color theme="1"/>
        <rFont val="Calibri"/>
        <family val="2"/>
        <scheme val="minor"/>
      </rPr>
      <t>Animation 9 :</t>
    </r>
    <r>
      <rPr>
        <sz val="11"/>
        <color theme="1"/>
        <rFont val="Calibri"/>
        <family val="2"/>
        <scheme val="minor"/>
      </rPr>
      <t xml:space="preserve"> Le temps de l'arbre, à la chapelle de Dompierre</t>
    </r>
  </si>
  <si>
    <r>
      <rPr>
        <b/>
        <sz val="11"/>
        <color theme="1"/>
        <rFont val="Calibri"/>
        <family val="2"/>
        <scheme val="minor"/>
      </rPr>
      <t xml:space="preserve">Animation 10 : </t>
    </r>
    <r>
      <rPr>
        <sz val="11"/>
        <color theme="1"/>
        <rFont val="Calibri"/>
        <family val="2"/>
        <scheme val="minor"/>
      </rPr>
      <t>Verre de l'amitié à Courvières</t>
    </r>
  </si>
  <si>
    <t>Animation 5 : Initiation à l'orientation au site nordique de Vaux-et-Chantegrue</t>
  </si>
  <si>
    <t>Animation 1 : Barbecue et amusements à Courvières</t>
  </si>
  <si>
    <t>Animation 2 : Découverte de vélos électriques au chalet de ski de Frasne</t>
  </si>
  <si>
    <t>Animation 3 : Visite de la Pastorale à Bonnevaux</t>
  </si>
  <si>
    <t>Animation 4 : Promenade en terre pastorale à Bonnevaux</t>
  </si>
  <si>
    <t>Animation 6 : Maraudage au Lac de Bouverans</t>
  </si>
  <si>
    <t>Animation 7 : Exposition "Sauvages des rues" à La Rivière Drugeon</t>
  </si>
  <si>
    <t>Animation 8 : Des oiseaux protégés tout à coté de chez moi, entre Dompierre-les-Tilleuls et La-Rivière-Drugeon</t>
  </si>
  <si>
    <t>Animation 9 : Le temps de l'arbre, à la chapelle de Dompierre</t>
  </si>
  <si>
    <t>Animation 10 : Verre de l'amitié à Courvières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</si>
</sst>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name val="Calibri"/>
      <family val="2"/>
      <scheme val="minor"/>
    </font>
    <font>
      <sz val="18"/>
      <color theme="1"/>
      <name val="Calibri"/>
      <family val="2"/>
      <scheme val="minor"/>
    </font>
    <font>
      <b/>
      <sz val="11"/>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5"/>
        <bgColor indexed="64"/>
      </patternFill>
    </fill>
    <fill>
      <patternFill patternType="solid">
        <fgColor rgb="FFFFFF6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Fill="1"/>
    <xf numFmtId="0" fontId="0" fillId="0" borderId="0" xfId="0" applyAlignment="1">
      <alignment horizontal="center" wrapText="1"/>
    </xf>
    <xf numFmtId="0" fontId="0" fillId="0" borderId="0" xfId="0" applyFill="1" applyAlignment="1">
      <alignment horizontal="center" wrapText="1"/>
    </xf>
    <xf numFmtId="2" fontId="0" fillId="0" borderId="0" xfId="0" applyNumberFormat="1" applyFill="1" applyBorder="1"/>
    <xf numFmtId="0" fontId="0" fillId="4" borderId="0" xfId="0" applyFill="1"/>
    <xf numFmtId="0" fontId="0" fillId="4" borderId="0" xfId="0" applyFill="1" applyAlignment="1">
      <alignment horizontal="right"/>
    </xf>
    <xf numFmtId="0" fontId="0" fillId="4" borderId="0" xfId="0" applyFill="1" applyAlignment="1">
      <alignment horizontal="center"/>
    </xf>
    <xf numFmtId="2" fontId="3" fillId="2" borderId="0" xfId="0" applyNumberFormat="1"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0" fillId="3" borderId="0" xfId="0" applyFill="1" applyAlignment="1">
      <alignment horizontal="center"/>
    </xf>
    <xf numFmtId="0" fontId="0" fillId="5" borderId="1" xfId="0" applyFill="1" applyBorder="1" applyAlignment="1">
      <alignment horizontal="center" wrapText="1"/>
    </xf>
    <xf numFmtId="0" fontId="0" fillId="5" borderId="1" xfId="0" applyFill="1" applyBorder="1" applyAlignment="1">
      <alignment horizontal="right" vertical="center" wrapText="1"/>
    </xf>
    <xf numFmtId="2" fontId="0" fillId="0" borderId="1" xfId="0" applyNumberFormat="1" applyFill="1" applyBorder="1"/>
    <xf numFmtId="0" fontId="2" fillId="0" borderId="1" xfId="0" applyFont="1" applyBorder="1" applyAlignment="1">
      <alignment horizontal="center" vertical="center" wrapText="1"/>
    </xf>
    <xf numFmtId="2" fontId="0" fillId="0" borderId="1" xfId="0" applyNumberFormat="1" applyBorder="1"/>
    <xf numFmtId="2" fontId="0" fillId="6" borderId="1" xfId="0" applyNumberFormat="1" applyFill="1" applyBorder="1"/>
    <xf numFmtId="2" fontId="0" fillId="0" borderId="1" xfId="0" applyNumberFormat="1" applyFill="1" applyBorder="1" applyAlignment="1">
      <alignment horizontal="right"/>
    </xf>
    <xf numFmtId="2" fontId="0" fillId="6" borderId="1" xfId="0" applyNumberFormat="1" applyFill="1" applyBorder="1" applyAlignment="1">
      <alignment horizontal="right" wrapText="1"/>
    </xf>
    <xf numFmtId="2" fontId="1" fillId="0" borderId="1" xfId="0" applyNumberFormat="1" applyFont="1" applyFill="1" applyBorder="1"/>
    <xf numFmtId="0" fontId="0" fillId="5" borderId="1" xfId="0" applyFill="1" applyBorder="1" applyAlignment="1">
      <alignment horizontal="right"/>
    </xf>
    <xf numFmtId="2" fontId="0" fillId="0" borderId="1" xfId="0" applyNumberFormat="1" applyFill="1" applyBorder="1" applyAlignment="1">
      <alignment horizontal="center" wrapText="1"/>
    </xf>
    <xf numFmtId="0" fontId="0" fillId="0" borderId="0" xfId="0" applyFill="1" applyBorder="1" applyAlignment="1">
      <alignment horizontal="right"/>
    </xf>
    <xf numFmtId="0" fontId="0" fillId="4" borderId="0" xfId="0" applyFill="1" applyBorder="1" applyAlignment="1">
      <alignment horizontal="left" vertical="center" wrapText="1"/>
    </xf>
    <xf numFmtId="0" fontId="0" fillId="4" borderId="0" xfId="0" applyFill="1" applyBorder="1" applyAlignment="1">
      <alignment horizontal="left"/>
    </xf>
    <xf numFmtId="0" fontId="0" fillId="4" borderId="0" xfId="0" applyFill="1" applyAlignment="1">
      <alignment horizontal="right" vertical="center"/>
    </xf>
    <xf numFmtId="0" fontId="0" fillId="4" borderId="0" xfId="0" applyFill="1" applyAlignment="1">
      <alignment horizontal="center" vertical="center"/>
    </xf>
    <xf numFmtId="0" fontId="0" fillId="4" borderId="0" xfId="0" applyFill="1" applyAlignment="1">
      <alignment vertical="center"/>
    </xf>
    <xf numFmtId="0" fontId="0" fillId="4" borderId="0" xfId="0" applyFill="1" applyAlignment="1">
      <alignment horizontal="center"/>
    </xf>
    <xf numFmtId="0" fontId="4" fillId="4" borderId="0" xfId="0" applyFont="1" applyFill="1" applyAlignment="1">
      <alignment horizontal="center"/>
    </xf>
    <xf numFmtId="0" fontId="0" fillId="4" borderId="0" xfId="0" applyFill="1" applyAlignment="1">
      <alignment horizontal="center" wrapText="1"/>
    </xf>
    <xf numFmtId="0" fontId="0" fillId="4" borderId="0" xfId="0" applyFill="1" applyAlignment="1">
      <alignment horizontal="left" vertical="top" wrapText="1"/>
    </xf>
    <xf numFmtId="0" fontId="0" fillId="4" borderId="0" xfId="0" applyFill="1" applyAlignment="1">
      <alignment horizontal="left" vertical="top"/>
    </xf>
    <xf numFmtId="0" fontId="0" fillId="4" borderId="0" xfId="0" applyFill="1" applyAlignment="1">
      <alignment horizontal="left" wrapText="1"/>
    </xf>
    <xf numFmtId="0" fontId="0" fillId="3" borderId="0" xfId="0"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168671</xdr:colOff>
      <xdr:row>1</xdr:row>
      <xdr:rowOff>168671</xdr:rowOff>
    </xdr:from>
    <xdr:to>
      <xdr:col>3</xdr:col>
      <xdr:colOff>359170</xdr:colOff>
      <xdr:row>5</xdr:row>
      <xdr:rowOff>72231</xdr:rowOff>
    </xdr:to>
    <xdr:pic>
      <xdr:nvPicPr>
        <xdr:cNvPr id="3" name="Image 2" descr="Communauté de communes du plateau de Frasne et du Val du Drugeon">
          <a:extLst>
            <a:ext uri="{FF2B5EF4-FFF2-40B4-BE49-F238E27FC236}">
              <a16:creationId xmlns:a16="http://schemas.microsoft.com/office/drawing/2014/main" id="{CAE95C94-8F30-49D1-9DB4-46A139E11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624" y="357187"/>
          <a:ext cx="1976437" cy="736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9"/>
  <sheetViews>
    <sheetView tabSelected="1" zoomScale="78" zoomScaleNormal="78" workbookViewId="0">
      <selection activeCell="C21" sqref="C21"/>
    </sheetView>
  </sheetViews>
  <sheetFormatPr baseColWidth="10" defaultRowHeight="15" x14ac:dyDescent="0.25"/>
  <cols>
    <col min="1" max="1" width="3.85546875" customWidth="1"/>
    <col min="2" max="2" width="2" customWidth="1"/>
    <col min="3" max="3" width="26.85546875" customWidth="1"/>
    <col min="4" max="6" width="16.85546875" customWidth="1"/>
    <col min="7" max="7" width="13.5703125" customWidth="1"/>
    <col min="8" max="10" width="16.7109375" customWidth="1"/>
    <col min="11" max="11" width="19.28515625" customWidth="1"/>
    <col min="12" max="12" width="2.5703125" customWidth="1"/>
    <col min="13" max="13" width="26.42578125" customWidth="1"/>
    <col min="14" max="19" width="9.85546875" customWidth="1"/>
    <col min="20" max="23" width="12.5703125" customWidth="1"/>
  </cols>
  <sheetData>
    <row r="2" spans="2:12" x14ac:dyDescent="0.25">
      <c r="B2" s="5"/>
      <c r="C2" s="5"/>
      <c r="D2" s="5"/>
      <c r="E2" s="5"/>
      <c r="F2" s="5"/>
      <c r="G2" s="5"/>
      <c r="H2" s="5"/>
      <c r="I2" s="5"/>
      <c r="J2" s="5"/>
      <c r="K2" s="5"/>
      <c r="L2" s="5"/>
    </row>
    <row r="3" spans="2:12" ht="21" x14ac:dyDescent="0.35">
      <c r="B3" s="5"/>
      <c r="C3" s="5"/>
      <c r="D3" s="5"/>
      <c r="E3" s="30" t="s">
        <v>22</v>
      </c>
      <c r="F3" s="30"/>
      <c r="G3" s="30"/>
      <c r="H3" s="30"/>
      <c r="I3" s="5"/>
      <c r="J3" s="5"/>
      <c r="K3" s="5"/>
      <c r="L3" s="5"/>
    </row>
    <row r="4" spans="2:12" x14ac:dyDescent="0.25">
      <c r="B4" s="5"/>
      <c r="C4" s="5"/>
      <c r="D4" s="5"/>
      <c r="E4" s="31" t="s">
        <v>23</v>
      </c>
      <c r="F4" s="31"/>
      <c r="G4" s="31"/>
      <c r="H4" s="31"/>
      <c r="I4" s="5"/>
      <c r="J4" s="5"/>
      <c r="K4" s="5"/>
      <c r="L4" s="5"/>
    </row>
    <row r="5" spans="2:12" x14ac:dyDescent="0.25">
      <c r="B5" s="5"/>
      <c r="C5" s="5"/>
      <c r="D5" s="5"/>
      <c r="E5" s="31"/>
      <c r="F5" s="31"/>
      <c r="G5" s="31"/>
      <c r="H5" s="31"/>
      <c r="I5" s="5"/>
      <c r="J5" s="5"/>
      <c r="K5" s="5"/>
      <c r="L5" s="5"/>
    </row>
    <row r="6" spans="2:12" ht="23.25" customHeight="1" x14ac:dyDescent="0.25">
      <c r="B6" s="5"/>
      <c r="C6" s="5"/>
      <c r="D6" s="5"/>
      <c r="E6" s="5"/>
      <c r="F6" s="5"/>
      <c r="G6" s="5"/>
      <c r="H6" s="5"/>
      <c r="I6" s="5"/>
      <c r="J6" s="5"/>
      <c r="K6" s="5"/>
      <c r="L6" s="5"/>
    </row>
    <row r="7" spans="2:12" ht="46.5" customHeight="1" x14ac:dyDescent="0.25">
      <c r="B7" s="5"/>
      <c r="C7" s="32" t="s">
        <v>24</v>
      </c>
      <c r="D7" s="33"/>
      <c r="E7" s="33"/>
      <c r="F7" s="33"/>
      <c r="G7" s="33"/>
      <c r="H7" s="33"/>
      <c r="I7" s="33"/>
      <c r="J7" s="33"/>
      <c r="K7" s="33"/>
      <c r="L7" s="5"/>
    </row>
    <row r="8" spans="2:12" x14ac:dyDescent="0.25">
      <c r="B8" s="5"/>
      <c r="C8" s="5" t="s">
        <v>25</v>
      </c>
      <c r="D8" s="5"/>
      <c r="E8" s="5"/>
      <c r="F8" s="5"/>
      <c r="G8" s="5"/>
      <c r="H8" s="5"/>
      <c r="I8" s="5"/>
      <c r="J8" s="5"/>
      <c r="K8" s="5"/>
      <c r="L8" s="5"/>
    </row>
    <row r="9" spans="2:12" ht="35.25" customHeight="1" x14ac:dyDescent="0.25">
      <c r="B9" s="5"/>
      <c r="C9" s="34" t="s">
        <v>26</v>
      </c>
      <c r="D9" s="34"/>
      <c r="E9" s="34"/>
      <c r="F9" s="34"/>
      <c r="G9" s="34"/>
      <c r="H9" s="34"/>
      <c r="I9" s="34"/>
      <c r="J9" s="34"/>
      <c r="K9" s="34"/>
      <c r="L9" s="5"/>
    </row>
    <row r="10" spans="2:12" x14ac:dyDescent="0.25">
      <c r="B10" s="5"/>
      <c r="C10" s="5"/>
      <c r="D10" s="5"/>
      <c r="E10" s="5"/>
      <c r="F10" s="5"/>
      <c r="G10" s="5"/>
      <c r="H10" s="5"/>
      <c r="I10" s="5"/>
      <c r="J10" s="5"/>
      <c r="K10" s="5"/>
      <c r="L10" s="5"/>
    </row>
    <row r="11" spans="2:12" x14ac:dyDescent="0.25">
      <c r="B11" s="5"/>
      <c r="C11" s="6" t="s">
        <v>13</v>
      </c>
      <c r="D11" s="11" t="s">
        <v>11</v>
      </c>
      <c r="E11" s="5" t="s">
        <v>21</v>
      </c>
      <c r="F11" s="5"/>
      <c r="G11" s="5"/>
      <c r="H11" s="5"/>
      <c r="I11" s="5"/>
      <c r="J11" s="5"/>
      <c r="K11" s="5"/>
      <c r="L11" s="5"/>
    </row>
    <row r="12" spans="2:12" x14ac:dyDescent="0.25">
      <c r="B12" s="5"/>
      <c r="C12" s="5"/>
      <c r="D12" s="5"/>
      <c r="E12" s="5"/>
      <c r="F12" s="5"/>
      <c r="G12" s="5"/>
      <c r="H12" s="5"/>
      <c r="I12" s="5"/>
      <c r="J12" s="5"/>
      <c r="K12" s="5"/>
      <c r="L12" s="5"/>
    </row>
    <row r="13" spans="2:12" ht="36" customHeight="1" x14ac:dyDescent="0.25">
      <c r="B13" s="5"/>
      <c r="C13" s="26" t="s">
        <v>17</v>
      </c>
      <c r="D13" s="35" t="s">
        <v>3</v>
      </c>
      <c r="E13" s="35"/>
      <c r="F13" s="35"/>
      <c r="G13" s="27" t="s">
        <v>18</v>
      </c>
      <c r="H13" s="35" t="s">
        <v>39</v>
      </c>
      <c r="I13" s="35"/>
      <c r="J13" s="35"/>
      <c r="K13" s="28" t="s">
        <v>21</v>
      </c>
      <c r="L13" s="5"/>
    </row>
    <row r="14" spans="2:12" x14ac:dyDescent="0.25">
      <c r="B14" s="5"/>
      <c r="C14" s="5"/>
      <c r="D14" s="5"/>
      <c r="E14" s="5"/>
      <c r="F14" s="5"/>
      <c r="G14" s="5"/>
      <c r="H14" s="5"/>
      <c r="I14" s="5"/>
      <c r="J14" s="5"/>
      <c r="K14" s="5"/>
      <c r="L14" s="5"/>
    </row>
    <row r="15" spans="2:12" x14ac:dyDescent="0.25">
      <c r="B15" s="5"/>
      <c r="C15" s="5"/>
      <c r="D15" s="5"/>
      <c r="E15" s="5"/>
      <c r="F15" s="5"/>
      <c r="G15" s="5"/>
      <c r="H15" s="5"/>
      <c r="I15" s="5"/>
      <c r="J15" s="5"/>
      <c r="K15" s="5"/>
      <c r="L15" s="5"/>
    </row>
    <row r="16" spans="2:12" x14ac:dyDescent="0.25">
      <c r="B16" s="5"/>
      <c r="C16" s="6" t="s">
        <v>12</v>
      </c>
      <c r="D16" s="8">
        <f>IF(D11="à vélo",INDEX('Tableau de référence'!B2:U21,MATCH(H13,'Tableau de référence'!A2:A21,0),MATCH(D13,'Tableau de référence'!B1:U1,0)),INDEX('Tableau de référence'!B25:U44,MATCH(H13,'Tableau de référence'!A25:A44,0),MATCH(D13,'Tableau de référence'!B24:U24,0)))</f>
        <v>22.288999999999998</v>
      </c>
      <c r="E16" s="7" t="s">
        <v>19</v>
      </c>
      <c r="F16" s="9">
        <f>INT(IF(D11="à pied",D16*15,D16*5)/60)</f>
        <v>1</v>
      </c>
      <c r="G16" s="7" t="s">
        <v>16</v>
      </c>
      <c r="H16" s="10">
        <f>MOD(IF(D11="à pied",D16*15,D16*5),60)</f>
        <v>51.444999999999993</v>
      </c>
      <c r="I16" s="29" t="s">
        <v>20</v>
      </c>
      <c r="J16" s="29"/>
      <c r="K16" s="5"/>
      <c r="L16" s="5"/>
    </row>
    <row r="17" spans="2:12" x14ac:dyDescent="0.25">
      <c r="B17" s="5"/>
      <c r="C17" s="29" t="s">
        <v>27</v>
      </c>
      <c r="D17" s="29"/>
      <c r="E17" s="29"/>
      <c r="F17" s="29"/>
      <c r="G17" s="29"/>
      <c r="H17" s="29"/>
      <c r="I17" s="29"/>
      <c r="J17" s="29"/>
      <c r="K17" s="29"/>
      <c r="L17" s="5"/>
    </row>
    <row r="18" spans="2:12" ht="15" customHeight="1" x14ac:dyDescent="0.25">
      <c r="B18" s="5"/>
      <c r="C18" s="5"/>
      <c r="D18" s="5"/>
      <c r="E18" s="5"/>
      <c r="F18" s="5"/>
      <c r="G18" s="5"/>
      <c r="H18" s="5"/>
      <c r="I18" s="5"/>
      <c r="J18" s="5"/>
      <c r="K18" s="5"/>
      <c r="L18" s="5"/>
    </row>
    <row r="19" spans="2:12" x14ac:dyDescent="0.25">
      <c r="B19" s="5"/>
      <c r="C19" s="5"/>
      <c r="D19" s="5"/>
      <c r="E19" s="5"/>
      <c r="F19" s="5"/>
      <c r="G19" s="5"/>
      <c r="H19" s="5"/>
      <c r="I19" s="5"/>
      <c r="J19" s="5"/>
      <c r="K19" s="5"/>
      <c r="L19" s="5"/>
    </row>
  </sheetData>
  <mergeCells count="8">
    <mergeCell ref="I16:J16"/>
    <mergeCell ref="C17:K17"/>
    <mergeCell ref="E3:H3"/>
    <mergeCell ref="E4:H5"/>
    <mergeCell ref="C7:K7"/>
    <mergeCell ref="C9:K9"/>
    <mergeCell ref="D13:F13"/>
    <mergeCell ref="H13:J13"/>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'Tableau de référence'!$C$48:$C$49</xm:f>
          </x14:formula1>
          <xm:sqref>D11</xm:sqref>
        </x14:dataValidation>
        <x14:dataValidation type="list" allowBlank="1" showInputMessage="1" showErrorMessage="1" xr:uid="{00000000-0002-0000-0000-000000000000}">
          <x14:formula1>
            <xm:f>'Tableau de référence'!$A$48:$A$67</xm:f>
          </x14:formula1>
          <xm:sqref>H13:J13</xm:sqref>
        </x14:dataValidation>
        <x14:dataValidation type="list" allowBlank="1" showInputMessage="1" showErrorMessage="1" xr:uid="{BB69CBD4-C6DC-4CE7-8C6D-FC7417BE5394}">
          <x14:formula1>
            <xm:f>'Tableau de référence'!$A$48:$A$67</xm:f>
          </x14:formula1>
          <xm:sqref>D13:F13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F4D34-9F41-4A5F-A2DC-BB81E3B18482}">
  <dimension ref="A1:U83"/>
  <sheetViews>
    <sheetView zoomScale="39" zoomScaleNormal="39" workbookViewId="0">
      <selection activeCell="B2" sqref="B2"/>
    </sheetView>
  </sheetViews>
  <sheetFormatPr baseColWidth="10" defaultRowHeight="15" x14ac:dyDescent="0.25"/>
  <cols>
    <col min="1" max="1" width="49.85546875" customWidth="1"/>
    <col min="2" max="8" width="10.85546875" style="1" customWidth="1"/>
    <col min="9" max="11" width="10.85546875" customWidth="1"/>
    <col min="12" max="21" width="18.7109375" customWidth="1"/>
  </cols>
  <sheetData>
    <row r="1" spans="1:21" s="2" customFormat="1" ht="76.5" customHeight="1" x14ac:dyDescent="0.25">
      <c r="A1" s="15" t="s">
        <v>14</v>
      </c>
      <c r="B1" s="12" t="s">
        <v>0</v>
      </c>
      <c r="C1" s="12" t="s">
        <v>9</v>
      </c>
      <c r="D1" s="12" t="s">
        <v>1</v>
      </c>
      <c r="E1" s="12" t="s">
        <v>2</v>
      </c>
      <c r="F1" s="12" t="s">
        <v>3</v>
      </c>
      <c r="G1" s="12" t="s">
        <v>4</v>
      </c>
      <c r="H1" s="12" t="s">
        <v>5</v>
      </c>
      <c r="I1" s="12" t="s">
        <v>6</v>
      </c>
      <c r="J1" s="12" t="s">
        <v>8</v>
      </c>
      <c r="K1" s="12" t="s">
        <v>7</v>
      </c>
      <c r="L1" s="13" t="s">
        <v>31</v>
      </c>
      <c r="M1" s="13" t="s">
        <v>32</v>
      </c>
      <c r="N1" s="13" t="s">
        <v>28</v>
      </c>
      <c r="O1" s="13" t="s">
        <v>33</v>
      </c>
      <c r="P1" s="13" t="s">
        <v>29</v>
      </c>
      <c r="Q1" s="13" t="s">
        <v>30</v>
      </c>
      <c r="R1" s="13" t="s">
        <v>34</v>
      </c>
      <c r="S1" s="13" t="s">
        <v>35</v>
      </c>
      <c r="T1" s="13" t="s">
        <v>36</v>
      </c>
      <c r="U1" s="13" t="s">
        <v>37</v>
      </c>
    </row>
    <row r="2" spans="1:21" s="2" customFormat="1" ht="22.5" customHeight="1" x14ac:dyDescent="0.25">
      <c r="A2" s="13" t="s">
        <v>31</v>
      </c>
      <c r="B2" s="14">
        <f>1.96+2.13+4.13+2.57+0.455+0.684+0.45+3.06+3.1</f>
        <v>18.538999999999998</v>
      </c>
      <c r="C2" s="14">
        <f>0.405+0.272+2.07+0.36+0.98+3.58+1.34+2.82+2.13+1.96</f>
        <v>15.917000000000002</v>
      </c>
      <c r="D2" s="14">
        <v>4.1399999999999997</v>
      </c>
      <c r="E2" s="14">
        <f>1.96+2.13+4.13+3.58+0.98+0.36+2.07+0.879+1.81+0.293+2.2+0.388</f>
        <v>20.779999999999998</v>
      </c>
      <c r="F2" s="14">
        <f>3.72+3.1+3.06+0.45+0.684+0.455+2.57+1.34+2.82+2.13+1.96</f>
        <v>22.288999999999998</v>
      </c>
      <c r="G2" s="14">
        <v>0</v>
      </c>
      <c r="H2" s="14">
        <f>1.96+2.13+2.82+1.34+2.57+0.455+0.684</f>
        <v>11.959</v>
      </c>
      <c r="I2" s="14">
        <f>1.34+2.82+2.13+1.96</f>
        <v>8.25</v>
      </c>
      <c r="J2" s="14">
        <f t="shared" ref="J2" si="0">1.96+2.13+4.13+2.57+0.455+0.684+0.45+3.06</f>
        <v>15.438999999999998</v>
      </c>
      <c r="K2" s="14">
        <f>1.96+2.13+4.13+3.58+0.98+0.36+2.07+0.272+0.405+5.79+3.89</f>
        <v>25.567</v>
      </c>
      <c r="L2" s="17">
        <v>0</v>
      </c>
      <c r="M2" s="14">
        <f>2.82+2.13+1.96</f>
        <v>6.9099999999999993</v>
      </c>
      <c r="N2" s="14">
        <f>0.405+0.272+2.07+0.36+0.98+3.58+1.34+2.82+2.13+1.96</f>
        <v>15.917000000000002</v>
      </c>
      <c r="O2" s="14">
        <f>0.405+0.272+2.07+0.36+0.98+3.58+1.34+2.82+2.13+1.96</f>
        <v>15.917000000000002</v>
      </c>
      <c r="P2" s="14">
        <f>1.96+2.13+4.13+3.58+0.98+0.36+2.07+0.272+0.405+5.79</f>
        <v>21.677</v>
      </c>
      <c r="Q2" s="14">
        <f>1.96+2.13+4.13+3.58+0.98+0.36+2.07+2.6</f>
        <v>17.809999999999999</v>
      </c>
      <c r="R2" s="14">
        <f t="shared" ref="R2" si="1">1.96+2.13+4.13+2.57+0.455+0.684+0.45+3.06</f>
        <v>15.438999999999998</v>
      </c>
      <c r="S2" s="14">
        <f>1.96+2.13+2.82+1.34+2.57+0.455+0.684+0.45+1.96</f>
        <v>14.369</v>
      </c>
      <c r="T2" s="14">
        <f>1.96+2.13+4.13+2.57+0.455</f>
        <v>11.244999999999999</v>
      </c>
      <c r="U2" s="14">
        <v>0</v>
      </c>
    </row>
    <row r="3" spans="1:21" s="3" customFormat="1" ht="15" customHeight="1" x14ac:dyDescent="0.25">
      <c r="A3" s="13" t="s">
        <v>32</v>
      </c>
      <c r="B3" s="14">
        <f>2.57+0.455+0.684+0.45+3.06+3.1+1.34</f>
        <v>11.658999999999999</v>
      </c>
      <c r="C3" s="14">
        <f>3.58+0.98+0.36+2.07+0.272+0.405</f>
        <v>7.6670000000000007</v>
      </c>
      <c r="D3" s="14">
        <f>2.82+2.13+1.96+4.14</f>
        <v>11.049999999999999</v>
      </c>
      <c r="E3" s="14">
        <f>2.57+0.455+0.684+0.45+3.06+1.38+1.34</f>
        <v>9.9390000000000001</v>
      </c>
      <c r="F3" s="14">
        <f>1.34+2.57+1.39+2.05+9.89</f>
        <v>17.240000000000002</v>
      </c>
      <c r="G3" s="14">
        <f>2.82+2.13+1.96</f>
        <v>6.9099999999999993</v>
      </c>
      <c r="H3" s="14">
        <f>1.34+2.57+0.455+0.684</f>
        <v>5.0490000000000004</v>
      </c>
      <c r="I3" s="22">
        <v>1.37</v>
      </c>
      <c r="J3" s="14">
        <f>2.57+0.455+0.684+0.45+3.06+1.34</f>
        <v>8.5589999999999993</v>
      </c>
      <c r="K3" s="14">
        <f>3.58+0.98+0.36+2.07+0.272+0.405+5.79+3.89+1.34</f>
        <v>18.687000000000001</v>
      </c>
      <c r="L3" s="14">
        <f>2.82+2.13+1.96</f>
        <v>6.9099999999999993</v>
      </c>
      <c r="M3" s="19">
        <v>0</v>
      </c>
      <c r="N3" s="14">
        <f>3.58+0.98+0.36+2.07+1.34</f>
        <v>8.33</v>
      </c>
      <c r="O3" s="14">
        <f>3.58+0.98+0.36+2.07+0.272+0.405</f>
        <v>7.6670000000000007</v>
      </c>
      <c r="P3" s="14">
        <f>3.58+0.98+0.36+2.07+0.272+0.405+5.79+1.34</f>
        <v>14.797000000000001</v>
      </c>
      <c r="Q3" s="14">
        <f>3.58+0.98+0.36+2.07+2.6+1.34</f>
        <v>10.93</v>
      </c>
      <c r="R3" s="14">
        <f>2.57+0.455+0.684+0.45+3.06+1.34</f>
        <v>8.5589999999999993</v>
      </c>
      <c r="S3" s="14">
        <f>1.34+2.57+0.455+0.684+0.45+1.96</f>
        <v>7.4590000000000005</v>
      </c>
      <c r="T3" s="14">
        <f>2.57+0.455+1.34</f>
        <v>4.3650000000000002</v>
      </c>
      <c r="U3" s="14">
        <v>6.9099999999999993</v>
      </c>
    </row>
    <row r="4" spans="1:21" s="3" customFormat="1" ht="15" customHeight="1" x14ac:dyDescent="0.25">
      <c r="A4" s="13" t="s">
        <v>28</v>
      </c>
      <c r="B4" s="14">
        <f>0.405+0.272+2.6+0.293+2.2+0.388+1.38+3.1</f>
        <v>10.638</v>
      </c>
      <c r="C4" s="14">
        <v>0</v>
      </c>
      <c r="D4" s="14">
        <f>0.405+0.272+2.07+0.36+0.98+3.58+1.34+2.82+2.13+1.96+4.14</f>
        <v>20.057000000000002</v>
      </c>
      <c r="E4" s="14">
        <f>0.388+2.2+0.293+1.81+0.879+0.272+0.405</f>
        <v>6.2470000000000008</v>
      </c>
      <c r="F4" s="14">
        <f>3.72+3.1+1.38+0.388+2.2+0.293+1.81+0.879+0.272+0.405</f>
        <v>14.446999999999999</v>
      </c>
      <c r="G4" s="14">
        <f>0.405+0.272+2.07+0.36+0.98+3.58+1.34+2.82+2.13+1.96</f>
        <v>15.917000000000002</v>
      </c>
      <c r="H4" s="14">
        <f>0.405+0.272+2.07+0.36+0.98+3.58+2.57+0.455+0.684</f>
        <v>11.375999999999999</v>
      </c>
      <c r="I4" s="14">
        <f>3.58+0.98+0.36+2.07+0.272+0.405</f>
        <v>7.6670000000000007</v>
      </c>
      <c r="J4" s="14">
        <f t="shared" ref="J4:J13" si="2">0.405+0.272+2.6+0.293+2.2+0.388+1.38</f>
        <v>7.5380000000000003</v>
      </c>
      <c r="K4" s="14">
        <f>3.89+5.79</f>
        <v>9.68</v>
      </c>
      <c r="L4" s="14">
        <f>0.405+0.272+2.07+0.36+0.98+3.58+1.34+2.82+2.13+1.96</f>
        <v>15.917000000000002</v>
      </c>
      <c r="M4" s="14">
        <f>3.58+0.98+0.36+2.07+0.272+0.405+1.34</f>
        <v>9.0070000000000014</v>
      </c>
      <c r="N4" s="17">
        <v>0</v>
      </c>
      <c r="O4" s="17">
        <v>0</v>
      </c>
      <c r="P4" s="14">
        <v>5.79</v>
      </c>
      <c r="Q4" s="14">
        <f>0.405+0.272+2.6</f>
        <v>3.2770000000000001</v>
      </c>
      <c r="R4" s="14">
        <f t="shared" ref="R4:R13" si="3">0.405+0.272+2.6+0.293+2.2+0.388+1.38</f>
        <v>7.5380000000000003</v>
      </c>
      <c r="S4" s="14">
        <f>0.405+0.272+2.6+0.293+2.2+0.388+1.38+1.1</f>
        <v>8.6379999999999999</v>
      </c>
      <c r="T4" s="14">
        <f>0.405+0.272+2.07+0.36+0.98+3.58+2.57+0.455</f>
        <v>10.692</v>
      </c>
      <c r="U4" s="20">
        <v>15.917000000000002</v>
      </c>
    </row>
    <row r="5" spans="1:21" s="3" customFormat="1" ht="15" customHeight="1" x14ac:dyDescent="0.25">
      <c r="A5" s="13" t="s">
        <v>33</v>
      </c>
      <c r="B5" s="14">
        <f>0.405+0.272+2.6+0.293+2.2+0.388+1.38+3.1</f>
        <v>10.638</v>
      </c>
      <c r="C5" s="14">
        <v>0</v>
      </c>
      <c r="D5" s="14">
        <f>0.405+0.272+2.07+0.36+0.98+3.58+1.34+2.82+2.13+1.96+4.14</f>
        <v>20.057000000000002</v>
      </c>
      <c r="E5" s="14">
        <f>0.388+2.2+0.293+1.81+0.879+0.272+0.405</f>
        <v>6.2470000000000008</v>
      </c>
      <c r="F5" s="14">
        <f>3.72+3.1+1.38+0.388+2.2+0.293+1.81+0.879+0.272+0.405</f>
        <v>14.446999999999999</v>
      </c>
      <c r="G5" s="14">
        <f>0.405+0.272+2.07+0.36+0.98+3.58+1.34+2.82+2.13+1.96</f>
        <v>15.917000000000002</v>
      </c>
      <c r="H5" s="14">
        <f>0.405+0.272+2.07+0.36+0.98+3.58+2.57+0.455+0.684</f>
        <v>11.375999999999999</v>
      </c>
      <c r="I5" s="14">
        <f>3.58+0.98+0.36+2.07+0.272+0.405</f>
        <v>7.6670000000000007</v>
      </c>
      <c r="J5" s="14">
        <f t="shared" si="2"/>
        <v>7.5380000000000003</v>
      </c>
      <c r="K5" s="14">
        <f>3.89+5.79</f>
        <v>9.68</v>
      </c>
      <c r="L5" s="14">
        <f>0.405+0.272+2.07+0.36+0.98+3.58+1.34+2.82+2.13+1.96</f>
        <v>15.917000000000002</v>
      </c>
      <c r="M5" s="14">
        <f>3.58+0.98+0.36+2.07+0.272+0.405+1.34</f>
        <v>9.0070000000000014</v>
      </c>
      <c r="N5" s="17">
        <v>0</v>
      </c>
      <c r="O5" s="17">
        <v>0</v>
      </c>
      <c r="P5" s="14">
        <v>5.79</v>
      </c>
      <c r="Q5" s="14">
        <f>0.405+0.272+2.6</f>
        <v>3.2770000000000001</v>
      </c>
      <c r="R5" s="14">
        <f t="shared" si="3"/>
        <v>7.5380000000000003</v>
      </c>
      <c r="S5" s="14">
        <f>0.405+0.272+2.6+0.293+2.2+0.388+1.38+1.1</f>
        <v>8.6379999999999999</v>
      </c>
      <c r="T5" s="14">
        <f>0.405+0.272+2.07+0.36+0.98+3.58+2.57+0.455</f>
        <v>10.692</v>
      </c>
      <c r="U5" s="20">
        <v>15.917000000000002</v>
      </c>
    </row>
    <row r="6" spans="1:21" s="3" customFormat="1" ht="15" customHeight="1" x14ac:dyDescent="0.25">
      <c r="A6" s="13" t="s">
        <v>29</v>
      </c>
      <c r="B6" s="14">
        <f>3.1+1.38+0.388+2.2+0.293+2.6+0.272+0.405+5.79</f>
        <v>16.428000000000001</v>
      </c>
      <c r="C6" s="14">
        <v>5.79</v>
      </c>
      <c r="D6" s="14">
        <f>4.14+1.96+2.13+4.13+3.58+0.98+0.36+2.07+0.272+0.405+5.79</f>
        <v>25.816999999999997</v>
      </c>
      <c r="E6" s="14">
        <f>0.388+2.2+0.293+2.6+0.272+0.405+5.79</f>
        <v>11.948</v>
      </c>
      <c r="F6" s="14">
        <f>3.72+3.1+1.38+0.388+2.2+0.293+2.6+0.272+0.405+5.79</f>
        <v>20.148</v>
      </c>
      <c r="G6" s="14">
        <f>1.96+2.13+4.13+3.58+0.98+0.36+2.07+0.272+0.405+5.79</f>
        <v>21.677</v>
      </c>
      <c r="H6" s="14">
        <f>3.06+0.2+1.38+0.388+2.2+0.293+2.6+0.272+0.405+5.79</f>
        <v>16.588000000000001</v>
      </c>
      <c r="I6" s="14">
        <f>3.58+0.98+0.36+2.07+0.272+0.405+5.79</f>
        <v>13.457000000000001</v>
      </c>
      <c r="J6" s="14">
        <f>1.38+0.388+2.2+0.293+2.6+0.272+0.405+5.79</f>
        <v>13.328000000000001</v>
      </c>
      <c r="K6" s="14">
        <v>3.89</v>
      </c>
      <c r="L6" s="14">
        <f>1.96+2.13+4.13+3.58+0.98+0.36+2.07+0.272+0.405+5.79</f>
        <v>21.677</v>
      </c>
      <c r="M6" s="14">
        <f>3.58+0.98+0.36+2.07+0.272+0.405+5.79+1.34</f>
        <v>14.797000000000001</v>
      </c>
      <c r="N6" s="14">
        <v>5.79</v>
      </c>
      <c r="O6" s="14">
        <v>5.79</v>
      </c>
      <c r="P6" s="17">
        <v>0</v>
      </c>
      <c r="Q6" s="14">
        <f>5.79+0.405+0.272+2.6</f>
        <v>9.0670000000000002</v>
      </c>
      <c r="R6" s="14">
        <f>1.38+0.388+2.2+0.293+2.6+0.272+0.405+5.79</f>
        <v>13.328000000000001</v>
      </c>
      <c r="S6" s="14">
        <f>1.1+1.38+0.388+2.2+0.293+2.6+0.272+0.405+5.79</f>
        <v>14.428000000000001</v>
      </c>
      <c r="T6" s="14">
        <f>0.684+0.45+3.06+1.38+0.388+2.2+0.293+2.6+0.272+0.405+5.79</f>
        <v>17.521999999999998</v>
      </c>
      <c r="U6" s="14">
        <v>21.677</v>
      </c>
    </row>
    <row r="7" spans="1:21" s="3" customFormat="1" ht="15" customHeight="1" x14ac:dyDescent="0.25">
      <c r="A7" s="13" t="s">
        <v>30</v>
      </c>
      <c r="B7" s="14">
        <f>3.1+1.38+0.388+2.2+0.293</f>
        <v>7.3610000000000007</v>
      </c>
      <c r="C7" s="14">
        <f>0.405+0.272+2.6</f>
        <v>3.2770000000000001</v>
      </c>
      <c r="D7" s="14">
        <f>4.14+1.96+2.13+4.13+3.58+0.98+0.36+2.07+2.6</f>
        <v>21.95</v>
      </c>
      <c r="E7" s="14">
        <f>0.388+2.2+0.293</f>
        <v>2.8810000000000002</v>
      </c>
      <c r="F7" s="14">
        <f>3.72+3.1+1.38+0.388+2.2+0.293</f>
        <v>11.081</v>
      </c>
      <c r="G7" s="14">
        <f>1.96+2.13+4.13+3.58+0.98+0.36+2.07+2.6</f>
        <v>17.809999999999999</v>
      </c>
      <c r="H7" s="14">
        <f>3.06+0.2+1.38+0.388+2.2+0.293</f>
        <v>7.5210000000000008</v>
      </c>
      <c r="I7" s="14">
        <f>3.58+0.98+0.36+2.07+2.6</f>
        <v>9.59</v>
      </c>
      <c r="J7" s="14">
        <f>1.38+0.388+2.2+0.293</f>
        <v>4.2610000000000001</v>
      </c>
      <c r="K7" s="14">
        <f>3.89+5.79+0.405+0.272+2.6</f>
        <v>12.956999999999999</v>
      </c>
      <c r="L7" s="14">
        <f>1.96+2.13+4.13+3.58+0.98+0.36+2.07+2.6</f>
        <v>17.809999999999999</v>
      </c>
      <c r="M7" s="14">
        <f>3.58+0.98+0.36+2.07+2.6+1.34</f>
        <v>10.93</v>
      </c>
      <c r="N7" s="14">
        <f>0.405+0.272+2.6</f>
        <v>3.2770000000000001</v>
      </c>
      <c r="O7" s="14">
        <f>0.405+0.272+2.6</f>
        <v>3.2770000000000001</v>
      </c>
      <c r="P7" s="14">
        <f>5.79+0.405+0.272+2.6</f>
        <v>9.0670000000000002</v>
      </c>
      <c r="Q7" s="17">
        <v>0</v>
      </c>
      <c r="R7" s="14">
        <f>1.38+0.388+2.2+0.293</f>
        <v>4.2610000000000001</v>
      </c>
      <c r="S7" s="14">
        <f>1.1+1.38+0.388+2.2+0.293</f>
        <v>5.3609999999999998</v>
      </c>
      <c r="T7" s="14">
        <f>0.684+0.45+3.06+1.38+0.388+2.2+0.293</f>
        <v>8.4549999999999983</v>
      </c>
      <c r="U7" s="14">
        <v>17.809999999999999</v>
      </c>
    </row>
    <row r="8" spans="1:21" s="3" customFormat="1" ht="15" customHeight="1" x14ac:dyDescent="0.25">
      <c r="A8" s="13" t="s">
        <v>34</v>
      </c>
      <c r="B8" s="14">
        <v>3.1</v>
      </c>
      <c r="C8" s="14">
        <f t="shared" ref="C8:O8" si="4">0.405+0.272+2.6+0.293+2.2+0.388+1.38</f>
        <v>7.5380000000000003</v>
      </c>
      <c r="D8" s="14">
        <v>15.815</v>
      </c>
      <c r="E8" s="14">
        <f>1.38</f>
        <v>1.38</v>
      </c>
      <c r="F8" s="14">
        <f>3.72+3.1</f>
        <v>6.82</v>
      </c>
      <c r="G8" s="14">
        <f t="shared" ref="G8:L8" si="5">1.96+2.13+4.13+2.57+0.455+0.684+0.45+3.06</f>
        <v>15.438999999999998</v>
      </c>
      <c r="H8" s="14">
        <f>3.06+0.2</f>
        <v>3.2600000000000002</v>
      </c>
      <c r="I8" s="14">
        <f t="shared" ref="I8" si="6">2.57+0.455+0.684+0.45+3.06</f>
        <v>7.2189999999999994</v>
      </c>
      <c r="J8" s="14">
        <v>0</v>
      </c>
      <c r="K8" s="14">
        <f>3.89+5.79+0.405+0.272+2.6+0.293+2.2+0.388+1.38</f>
        <v>17.218</v>
      </c>
      <c r="L8" s="14">
        <f t="shared" si="5"/>
        <v>15.438999999999998</v>
      </c>
      <c r="M8" s="14">
        <f>2.57+0.455+0.684+0.45+3.06+1.34</f>
        <v>8.5589999999999993</v>
      </c>
      <c r="N8" s="14">
        <f t="shared" si="4"/>
        <v>7.5380000000000003</v>
      </c>
      <c r="O8" s="14">
        <f t="shared" si="4"/>
        <v>7.5380000000000003</v>
      </c>
      <c r="P8" s="14">
        <f>1.38+0.388+2.2+0.293+2.6+0.272+0.405+5.79</f>
        <v>13.328000000000001</v>
      </c>
      <c r="Q8" s="14">
        <f>1.38+0.388+2.2+0.293</f>
        <v>4.2610000000000001</v>
      </c>
      <c r="R8" s="17">
        <v>0</v>
      </c>
      <c r="S8" s="14">
        <v>1.1000000000000001</v>
      </c>
      <c r="T8" s="14">
        <f>3.06+0.45+0.684</f>
        <v>4.194</v>
      </c>
      <c r="U8" s="14">
        <v>15.438999999999998</v>
      </c>
    </row>
    <row r="9" spans="1:21" s="3" customFormat="1" ht="15" customHeight="1" x14ac:dyDescent="0.25">
      <c r="A9" s="13" t="s">
        <v>35</v>
      </c>
      <c r="B9" s="14">
        <f>1.1+3.1</f>
        <v>4.2</v>
      </c>
      <c r="C9" s="14">
        <f>0.405+0.272+2.6+0.293+2.2+0.388+1.38+1.1</f>
        <v>8.6379999999999999</v>
      </c>
      <c r="D9" s="14">
        <f>1.96+0.45+0.684+0.455+1.39+0.876+5.21+1.46+1.23</f>
        <v>13.715</v>
      </c>
      <c r="E9" s="14">
        <f>1.1+1.38</f>
        <v>2.48</v>
      </c>
      <c r="F9" s="14">
        <f>3.72+3.1+1.1</f>
        <v>7.92</v>
      </c>
      <c r="G9" s="14">
        <f>1.96+2.13+2.82+1.34+2.57+0.455+0.684+0.45+1.96</f>
        <v>14.369</v>
      </c>
      <c r="H9" s="14">
        <v>1.96</v>
      </c>
      <c r="I9" s="14">
        <f>2.57+0.455+0.684+0.45+1.96</f>
        <v>6.1189999999999998</v>
      </c>
      <c r="J9" s="14">
        <v>1.1000000000000001</v>
      </c>
      <c r="K9" s="14">
        <f>1.1+1.38+0.388+2.2+0.293+2.6+0.272+0.405+5.79+3.89</f>
        <v>18.318000000000001</v>
      </c>
      <c r="L9" s="14">
        <f>1.96+2.13+2.82+1.34+2.57+0.455+0.684+0.45+1.96</f>
        <v>14.369</v>
      </c>
      <c r="M9" s="14">
        <f>1.34+2.57+0.455+0.684+0.45+1.96</f>
        <v>7.4590000000000005</v>
      </c>
      <c r="N9" s="14">
        <f>0.405+0.272+2.6+0.293+2.2+0.388+1.38+1.1</f>
        <v>8.6379999999999999</v>
      </c>
      <c r="O9" s="14">
        <f>0.405+0.272+2.6+0.293+2.2+0.388+1.38+1.1</f>
        <v>8.6379999999999999</v>
      </c>
      <c r="P9" s="14">
        <f>1.1+1.38+0.388+2.2+0.293+2.6+0.272+0.405+5.79</f>
        <v>14.428000000000001</v>
      </c>
      <c r="Q9" s="14">
        <f>1.1+1.38+0.388+2.2+0.293</f>
        <v>5.3609999999999998</v>
      </c>
      <c r="R9" s="14">
        <v>1.1000000000000001</v>
      </c>
      <c r="S9" s="17">
        <v>0</v>
      </c>
      <c r="T9" s="14">
        <f>0.684+0.45+1.1</f>
        <v>2.234</v>
      </c>
      <c r="U9" s="14">
        <v>14.369</v>
      </c>
    </row>
    <row r="10" spans="1:21" s="3" customFormat="1" ht="15" customHeight="1" x14ac:dyDescent="0.25">
      <c r="A10" s="13" t="s">
        <v>36</v>
      </c>
      <c r="B10" s="14">
        <f>3.1+3.06+0.45+0.684</f>
        <v>7.2940000000000005</v>
      </c>
      <c r="C10" s="14">
        <f>0.405+0.272+2.07+0.36+0.98+3.58+2.57+0.455</f>
        <v>10.692</v>
      </c>
      <c r="D10" s="14">
        <f>1.23+1.46+5.21+0.876+1.39+0.455</f>
        <v>10.621</v>
      </c>
      <c r="E10" s="14">
        <f>1.38+3.06+0.45+0.684</f>
        <v>5.5739999999999998</v>
      </c>
      <c r="F10" s="14">
        <f>3.72+3.1+3.06+0.45+0.684</f>
        <v>11.013999999999999</v>
      </c>
      <c r="G10" s="14">
        <f>1.96+2.13+4.13+2.57+0.455</f>
        <v>11.244999999999999</v>
      </c>
      <c r="H10" s="14">
        <f>0.684</f>
        <v>0.68400000000000005</v>
      </c>
      <c r="I10" s="14">
        <f>2.57+0.455</f>
        <v>3.0249999999999999</v>
      </c>
      <c r="J10" s="14">
        <f>3.06+0.45+0.684</f>
        <v>4.194</v>
      </c>
      <c r="K10" s="14">
        <f>3.89+5.79+0.405+0.272+2.07+0.36+0.98+3.58+2.57+0.455</f>
        <v>20.372</v>
      </c>
      <c r="L10" s="14">
        <f>1.96+2.13+4.13+2.57+0.455</f>
        <v>11.244999999999999</v>
      </c>
      <c r="M10" s="14">
        <f>2.57+0.455+1.34</f>
        <v>4.3650000000000002</v>
      </c>
      <c r="N10" s="14">
        <f>0.405+0.272+2.07+0.36+0.98+3.58+2.57+0.455</f>
        <v>10.692</v>
      </c>
      <c r="O10" s="14">
        <f>0.405+0.272+2.07+0.36+0.98+3.58+2.57+0.455</f>
        <v>10.692</v>
      </c>
      <c r="P10" s="14">
        <f>0.684+0.45+3.06+1.38+0.388+2.2+0.293+2.6+0.272+0.405+5.79</f>
        <v>17.521999999999998</v>
      </c>
      <c r="Q10" s="14">
        <f>0.684+0.45+3.06+1.38+0.388+2.2+0.293</f>
        <v>8.4549999999999983</v>
      </c>
      <c r="R10" s="14">
        <f>3.06+0.45+0.684</f>
        <v>4.194</v>
      </c>
      <c r="S10" s="14">
        <f>0.684+0.45+1.1</f>
        <v>2.234</v>
      </c>
      <c r="T10" s="17">
        <v>0</v>
      </c>
      <c r="U10" s="14">
        <v>11.244999999999999</v>
      </c>
    </row>
    <row r="11" spans="1:21" s="3" customFormat="1" ht="15" customHeight="1" x14ac:dyDescent="0.25">
      <c r="A11" s="13" t="s">
        <v>37</v>
      </c>
      <c r="B11" s="14">
        <f>1.96+2.13+4.13+2.57+0.455+0.684+0.45+3.06+3.1</f>
        <v>18.538999999999998</v>
      </c>
      <c r="C11" s="14">
        <f>0.405+0.272+2.07+0.36+0.98+3.58+1.34+2.82+2.13+1.96</f>
        <v>15.917000000000002</v>
      </c>
      <c r="D11" s="14">
        <v>4.1399999999999997</v>
      </c>
      <c r="E11" s="14">
        <f>1.96+2.13+4.13+3.58+0.98+0.36+2.07+0.879+1.81+0.293+2.2+0.388</f>
        <v>20.779999999999998</v>
      </c>
      <c r="F11" s="14">
        <f>3.72+3.1+3.06+0.45+0.684+0.455+2.57+1.34+2.82+2.13+1.96</f>
        <v>22.288999999999998</v>
      </c>
      <c r="G11" s="14">
        <v>0</v>
      </c>
      <c r="H11" s="14">
        <f>1.96+2.13+2.82+1.34+2.57+0.455+0.684</f>
        <v>11.959</v>
      </c>
      <c r="I11" s="14">
        <f>1.34+2.82+2.13+1.96</f>
        <v>8.25</v>
      </c>
      <c r="J11" s="14">
        <f t="shared" ref="J11" si="7">1.96+2.13+4.13+2.57+0.455+0.684+0.45+3.06</f>
        <v>15.438999999999998</v>
      </c>
      <c r="K11" s="14">
        <f>1.96+2.13+4.13+3.58+0.98+0.36+2.07+0.272+0.405+5.79+3.89</f>
        <v>25.567</v>
      </c>
      <c r="L11" s="14">
        <v>0</v>
      </c>
      <c r="M11" s="14">
        <f>2.82+2.13+1.96</f>
        <v>6.9099999999999993</v>
      </c>
      <c r="N11" s="14">
        <f>0.405+0.272+2.07+0.36+0.98+3.58+1.34+2.82+2.13+1.96</f>
        <v>15.917000000000002</v>
      </c>
      <c r="O11" s="14">
        <f>0.405+0.272+2.07+0.36+0.98+3.58+1.34+2.82+2.13+1.96</f>
        <v>15.917000000000002</v>
      </c>
      <c r="P11" s="14">
        <f>1.96+2.13+4.13+3.58+0.98+0.36+2.07+0.272+0.405+5.79</f>
        <v>21.677</v>
      </c>
      <c r="Q11" s="14">
        <f>1.96+2.13+4.13+3.58+0.98+0.36+2.07+2.6</f>
        <v>17.809999999999999</v>
      </c>
      <c r="R11" s="14">
        <f t="shared" ref="R11" si="8">1.96+2.13+4.13+2.57+0.455+0.684+0.45+3.06</f>
        <v>15.438999999999998</v>
      </c>
      <c r="S11" s="14">
        <f>1.96+2.13+2.82+1.34+2.57+0.455+0.684+0.45+1.96</f>
        <v>14.369</v>
      </c>
      <c r="T11" s="14">
        <f>1.96+2.13+4.13+2.57+0.455</f>
        <v>11.244999999999999</v>
      </c>
      <c r="U11" s="17">
        <v>0</v>
      </c>
    </row>
    <row r="12" spans="1:21" s="3" customFormat="1" ht="15" customHeight="1" x14ac:dyDescent="0.25">
      <c r="A12" s="21" t="s">
        <v>0</v>
      </c>
      <c r="B12" s="17">
        <v>0</v>
      </c>
      <c r="C12" s="14">
        <f>0.405+0.272+2.6+0.293+2.2+0.388+1.38+3.1</f>
        <v>10.638</v>
      </c>
      <c r="D12" s="14">
        <f>1.23+1.46+5.21+0.876+1.39+0.455+0.684+0.45+3.06+3.1</f>
        <v>17.914999999999999</v>
      </c>
      <c r="E12" s="14">
        <f>1.38+3.1</f>
        <v>4.4800000000000004</v>
      </c>
      <c r="F12" s="14">
        <v>3.72</v>
      </c>
      <c r="G12" s="14">
        <f>1.96+2.13+4.13+2.57+0.455+0.684+0.45+3.06+3.1</f>
        <v>18.538999999999998</v>
      </c>
      <c r="H12" s="14">
        <f>3.06+0.2+3.1</f>
        <v>6.36</v>
      </c>
      <c r="I12" s="14">
        <f>2.57+0.455+0.684+0.45+3.06+3.1</f>
        <v>10.318999999999999</v>
      </c>
      <c r="J12" s="14">
        <v>3.1</v>
      </c>
      <c r="K12" s="14">
        <f>3.89+5.79+0.405+0.272+2.6+0.293+2.2+0.388+1.38+3.1</f>
        <v>20.318000000000001</v>
      </c>
      <c r="L12" s="14">
        <f>1.96+2.13+4.13+2.57+0.455+0.684+0.45+3.06+3.1</f>
        <v>18.538999999999998</v>
      </c>
      <c r="M12" s="14">
        <f>2.57+0.455+0.684+0.45+3.06+3.1+1.34</f>
        <v>11.658999999999999</v>
      </c>
      <c r="N12" s="14">
        <f>0.405+0.272+2.6+0.293+2.2+0.388+1.38+3.1</f>
        <v>10.638</v>
      </c>
      <c r="O12" s="14">
        <f>0.405+0.272+2.6+0.293+2.2+0.388+1.38+3.1</f>
        <v>10.638</v>
      </c>
      <c r="P12" s="14">
        <f>3.1+1.38+0.388+2.2+0.293+2.6+0.272+0.405+5.79</f>
        <v>16.428000000000001</v>
      </c>
      <c r="Q12" s="14">
        <f>3.1+1.38+0.388+2.2+0.293</f>
        <v>7.3610000000000007</v>
      </c>
      <c r="R12" s="14">
        <v>3.1</v>
      </c>
      <c r="S12" s="14">
        <f>1.1+3.1</f>
        <v>4.2</v>
      </c>
      <c r="T12" s="14">
        <f>3.1+3.06+0.45+0.684</f>
        <v>7.2940000000000005</v>
      </c>
      <c r="U12" s="14">
        <v>18.538999999999998</v>
      </c>
    </row>
    <row r="13" spans="1:21" s="3" customFormat="1" ht="15" customHeight="1" x14ac:dyDescent="0.25">
      <c r="A13" s="21" t="s">
        <v>9</v>
      </c>
      <c r="B13" s="14">
        <f>0.405+0.272+2.6+0.293+2.2+0.388+1.38+3.1</f>
        <v>10.638</v>
      </c>
      <c r="C13" s="17">
        <v>0</v>
      </c>
      <c r="D13" s="14">
        <f>0.405+0.272+2.07+0.36+0.98+3.58+1.34+2.82+2.13+1.96+4.14</f>
        <v>20.057000000000002</v>
      </c>
      <c r="E13" s="14">
        <f>0.388+2.2+0.293+1.81+0.879+0.272+0.405</f>
        <v>6.2470000000000008</v>
      </c>
      <c r="F13" s="14">
        <f>3.72+3.1+1.38+0.388+2.2+0.293+1.81+0.879+0.272+0.405</f>
        <v>14.446999999999999</v>
      </c>
      <c r="G13" s="14">
        <f>0.405+0.272+2.07+0.36+0.98+3.58+1.34+2.82+2.13+1.96</f>
        <v>15.917000000000002</v>
      </c>
      <c r="H13" s="14">
        <f>0.405+0.272+2.07+0.36+0.98+3.58+2.57+0.455+0.684</f>
        <v>11.375999999999999</v>
      </c>
      <c r="I13" s="14">
        <f>3.58+0.98+0.36+2.07+0.272+0.405</f>
        <v>7.6670000000000007</v>
      </c>
      <c r="J13" s="14">
        <f t="shared" si="2"/>
        <v>7.5380000000000003</v>
      </c>
      <c r="K13" s="14">
        <f>3.89+5.79</f>
        <v>9.68</v>
      </c>
      <c r="L13" s="14">
        <f>0.405+0.272+2.07+0.36+0.98+3.58+1.34+2.82+2.13+1.96</f>
        <v>15.917000000000002</v>
      </c>
      <c r="M13" s="14">
        <f>3.58+0.98+0.36+2.07+0.272+0.405+1.34</f>
        <v>9.0070000000000014</v>
      </c>
      <c r="N13" s="14">
        <v>0</v>
      </c>
      <c r="O13" s="14">
        <v>0</v>
      </c>
      <c r="P13" s="14">
        <v>5.79</v>
      </c>
      <c r="Q13" s="14">
        <f>0.405+0.272+2.6</f>
        <v>3.2770000000000001</v>
      </c>
      <c r="R13" s="14">
        <f t="shared" si="3"/>
        <v>7.5380000000000003</v>
      </c>
      <c r="S13" s="14">
        <f>0.405+0.272+2.6+0.293+2.2+0.388+1.38+1.1</f>
        <v>8.6379999999999999</v>
      </c>
      <c r="T13" s="14">
        <f>0.405+0.272+2.07+0.36+0.98+3.58+2.57+0.455</f>
        <v>10.692</v>
      </c>
      <c r="U13" s="20">
        <v>15.917000000000002</v>
      </c>
    </row>
    <row r="14" spans="1:21" s="3" customFormat="1" ht="15" customHeight="1" x14ac:dyDescent="0.25">
      <c r="A14" s="21" t="s">
        <v>1</v>
      </c>
      <c r="B14" s="14">
        <f>1.23+1.46+5.21+0.876+1.39+0.455+0.684+0.45+3.06+3.1</f>
        <v>17.914999999999999</v>
      </c>
      <c r="C14" s="14">
        <f>0.405+0.272+2.07+0.36+0.98+3.58+1.34+2.82+2.13+1.96+4.14</f>
        <v>20.057000000000002</v>
      </c>
      <c r="D14" s="17">
        <v>0</v>
      </c>
      <c r="E14" s="14">
        <f>1.38+3.06+0.45+0.684+0.455+1.39+0.876+5.21+1.46+1.23</f>
        <v>16.195</v>
      </c>
      <c r="F14" s="14">
        <f>1.23+1.46+5.21+0.876+2.05+9.89</f>
        <v>20.716000000000001</v>
      </c>
      <c r="G14" s="14">
        <v>4.1399999999999997</v>
      </c>
      <c r="H14" s="14">
        <f>0.684+0.455+1.39+0.876+5.21+1.46+1.23</f>
        <v>11.305</v>
      </c>
      <c r="I14" s="14">
        <f>1.34+2.82+2.13+1.96+4.14</f>
        <v>12.39</v>
      </c>
      <c r="J14" s="14">
        <f>1.23+1.46+5.21+0.876+1.39+0.455+0.684+0.45+3.06</f>
        <v>14.815</v>
      </c>
      <c r="K14" s="14">
        <f>4.14+1.96+2.13+4.13+3.58+0.98+0.36+2.07+0.272+0.405+5.79+3.89</f>
        <v>29.706999999999997</v>
      </c>
      <c r="L14" s="14">
        <v>4.1399999999999997</v>
      </c>
      <c r="M14" s="14">
        <f>2.82+2.13+1.96+4.14</f>
        <v>11.049999999999999</v>
      </c>
      <c r="N14" s="14">
        <f>0.405+0.272+2.07+0.36+0.98+3.58+1.34+2.82+2.13+1.96+4.14</f>
        <v>20.057000000000002</v>
      </c>
      <c r="O14" s="14">
        <f>0.405+0.272+2.07+0.36+0.98+3.58+1.34+2.82+2.13+1.96+4.14</f>
        <v>20.057000000000002</v>
      </c>
      <c r="P14" s="14">
        <f>4.14+1.96+2.13+4.13+3.58+0.98+0.36+2.07+0.272+0.405+5.79</f>
        <v>25.816999999999997</v>
      </c>
      <c r="Q14" s="14">
        <f>4.14+1.96+2.13+4.13+3.58+0.98+0.36+2.07+2.6</f>
        <v>21.95</v>
      </c>
      <c r="R14" s="14">
        <f>1.23+1.46+5.21+0.876+1.39+0.455+0.684+0.45+3.06</f>
        <v>14.815</v>
      </c>
      <c r="S14" s="14">
        <f>1.96+0.45+0.684+0.455+1.39+0.876+5.21+1.46+1.23</f>
        <v>13.715</v>
      </c>
      <c r="T14" s="14">
        <f>1.23+1.46+5.21+0.876+1.39+0.455</f>
        <v>10.621</v>
      </c>
      <c r="U14" s="14">
        <v>4.1399999999999997</v>
      </c>
    </row>
    <row r="15" spans="1:21" s="3" customFormat="1" ht="15" customHeight="1" x14ac:dyDescent="0.25">
      <c r="A15" s="21" t="s">
        <v>2</v>
      </c>
      <c r="B15" s="14">
        <f>1.38+3.1</f>
        <v>4.4800000000000004</v>
      </c>
      <c r="C15" s="14">
        <f>0.388+2.2+0.293+1.81+0.879+0.272+0.405</f>
        <v>6.2470000000000008</v>
      </c>
      <c r="D15" s="14">
        <f>1.38+3.06+0.45+0.684+0.455+1.39+0.876+5.21+1.46+1.23</f>
        <v>16.195</v>
      </c>
      <c r="E15" s="17">
        <v>0</v>
      </c>
      <c r="F15" s="14">
        <f>1.38+3.1+3.72</f>
        <v>8.2000000000000011</v>
      </c>
      <c r="G15" s="14">
        <f>1.96+2.13+4.13+3.58+0.98+0.36+2.07+0.879+1.81+0.293+2.2+0.388</f>
        <v>20.779999999999998</v>
      </c>
      <c r="H15" s="14">
        <f>3.06+1.38</f>
        <v>4.4399999999999995</v>
      </c>
      <c r="I15" s="14">
        <f>2.57+0.455+0.684+0.45+3.06+1.38</f>
        <v>8.5990000000000002</v>
      </c>
      <c r="J15" s="14">
        <f>1.38</f>
        <v>1.38</v>
      </c>
      <c r="K15" s="14">
        <f>3.89+5.79+0.405+0.272+0.879+1.81+0.293+2.2+0.388</f>
        <v>15.926999999999998</v>
      </c>
      <c r="L15" s="14">
        <f>1.96+2.13+4.13+3.58+0.98+0.36+2.07+0.879+1.81+0.293+2.2+0.388</f>
        <v>20.779999999999998</v>
      </c>
      <c r="M15" s="14">
        <f>2.57+0.455+0.684+0.45+3.06+1.38+1.34</f>
        <v>9.9390000000000001</v>
      </c>
      <c r="N15" s="14">
        <f>0.388+2.2+0.293+1.81+0.879+0.272+0.405</f>
        <v>6.2470000000000008</v>
      </c>
      <c r="O15" s="14">
        <f>0.388+2.2+0.293+1.81+0.879+0.272+0.405</f>
        <v>6.2470000000000008</v>
      </c>
      <c r="P15" s="14">
        <f>0.388+2.2+0.293+2.6+0.272+0.405+5.79</f>
        <v>11.948</v>
      </c>
      <c r="Q15" s="14">
        <f>0.388+2.2+0.293</f>
        <v>2.8810000000000002</v>
      </c>
      <c r="R15" s="14">
        <f>1.38</f>
        <v>1.38</v>
      </c>
      <c r="S15" s="14">
        <f>1.96+1.38</f>
        <v>3.34</v>
      </c>
      <c r="T15" s="14">
        <f>1.38+3.06+0.45+0.684</f>
        <v>5.5739999999999998</v>
      </c>
      <c r="U15" s="14">
        <v>20.779999999999998</v>
      </c>
    </row>
    <row r="16" spans="1:21" x14ac:dyDescent="0.25">
      <c r="A16" s="21" t="s">
        <v>3</v>
      </c>
      <c r="B16" s="14">
        <v>3.72</v>
      </c>
      <c r="C16" s="14">
        <f>3.72+3.1+1.38+0.388+2.2+0.293+1.81+0.879+0.272+0.405</f>
        <v>14.446999999999999</v>
      </c>
      <c r="D16" s="14">
        <f>1.23+1.46+5.21+0.876+2.05+9.89</f>
        <v>20.716000000000001</v>
      </c>
      <c r="E16" s="14">
        <f>1.38+3.1+3.72</f>
        <v>8.2000000000000011</v>
      </c>
      <c r="F16" s="17">
        <v>0</v>
      </c>
      <c r="G16" s="14">
        <f>3.72+3.1+3.06+0.45+0.684+0.455+2.57+1.34+2.82+2.13+1.96</f>
        <v>22.288999999999998</v>
      </c>
      <c r="H16" s="14">
        <f>3.72+3.1+3.06</f>
        <v>9.8800000000000008</v>
      </c>
      <c r="I16" s="14">
        <f>2.57+1.39+2.05+9.89</f>
        <v>15.9</v>
      </c>
      <c r="J16" s="14">
        <f>3.72+3.1</f>
        <v>6.82</v>
      </c>
      <c r="K16" s="14">
        <f>3.72+3.1+1.38+0.388+2.2+0.293+1.81+0.879+0.272+0.405+5.79+3.89</f>
        <v>24.126999999999999</v>
      </c>
      <c r="L16" s="14">
        <f>3.72+3.1+3.06+0.45+0.684+0.455+2.57+1.34+2.82+2.13+1.96</f>
        <v>22.288999999999998</v>
      </c>
      <c r="M16" s="14">
        <f>1.34+2.57+1.39+2.05+9.89</f>
        <v>17.240000000000002</v>
      </c>
      <c r="N16" s="14">
        <f>3.72+3.1+1.38+0.388+2.2+0.293+1.81+0.879+0.272+0.405</f>
        <v>14.446999999999999</v>
      </c>
      <c r="O16" s="14">
        <f>3.72+3.1+1.38+0.388+2.2+0.293+1.81+0.879+0.272+0.405</f>
        <v>14.446999999999999</v>
      </c>
      <c r="P16" s="14">
        <f>3.72+3.1+1.38+0.388+2.2+0.293+2.6+0.272+0.405+5.79</f>
        <v>20.148</v>
      </c>
      <c r="Q16" s="14">
        <f>3.72+3.1+1.38+0.388+2.2+0.293</f>
        <v>11.081</v>
      </c>
      <c r="R16" s="14">
        <f>3.72+3.1</f>
        <v>6.82</v>
      </c>
      <c r="S16" s="14">
        <f>3.72+3.1+1.1</f>
        <v>7.92</v>
      </c>
      <c r="T16" s="14">
        <f>3.72+3.1+3.06+0.45+0.684</f>
        <v>11.013999999999999</v>
      </c>
      <c r="U16" s="14">
        <v>22.288999999999998</v>
      </c>
    </row>
    <row r="17" spans="1:21" x14ac:dyDescent="0.25">
      <c r="A17" s="21" t="s">
        <v>4</v>
      </c>
      <c r="B17" s="14">
        <f>1.96+2.13+4.13+2.57+0.455+0.684+0.45+3.06+3.1</f>
        <v>18.538999999999998</v>
      </c>
      <c r="C17" s="14">
        <f>0.405+0.272+2.07+0.36+0.98+3.58+1.34+2.82+2.13+1.96</f>
        <v>15.917000000000002</v>
      </c>
      <c r="D17" s="14">
        <v>4.1399999999999997</v>
      </c>
      <c r="E17" s="14">
        <f>1.96+2.13+4.13+3.58+0.98+0.36+2.07+0.879+1.81+0.293+2.2+0.388</f>
        <v>20.779999999999998</v>
      </c>
      <c r="F17" s="14">
        <f>3.72+3.1+3.06+0.45+0.684+0.455+2.57+1.34+2.82+2.13+1.96</f>
        <v>22.288999999999998</v>
      </c>
      <c r="G17" s="17">
        <v>0</v>
      </c>
      <c r="H17" s="14">
        <f>1.96+2.13+2.82+1.34+2.57+0.455+0.684</f>
        <v>11.959</v>
      </c>
      <c r="I17" s="14">
        <f>1.34+2.82+2.13+1.96</f>
        <v>8.25</v>
      </c>
      <c r="J17" s="14">
        <f t="shared" ref="J17" si="9">1.96+2.13+4.13+2.57+0.455+0.684+0.45+3.06</f>
        <v>15.438999999999998</v>
      </c>
      <c r="K17" s="14">
        <f>1.96+2.13+4.13+3.58+0.98+0.36+2.07+0.272+0.405+5.79+3.89</f>
        <v>25.567</v>
      </c>
      <c r="L17" s="14">
        <v>0</v>
      </c>
      <c r="M17" s="14">
        <f>2.82+2.13+1.96</f>
        <v>6.9099999999999993</v>
      </c>
      <c r="N17" s="14">
        <f>0.405+0.272+2.07+0.36+0.98+3.58+1.34+2.82+2.13+1.96</f>
        <v>15.917000000000002</v>
      </c>
      <c r="O17" s="14">
        <f>0.405+0.272+2.07+0.36+0.98+3.58+1.34+2.82+2.13+1.96</f>
        <v>15.917000000000002</v>
      </c>
      <c r="P17" s="14">
        <f>1.96+2.13+4.13+3.58+0.98+0.36+2.07+0.272+0.405+5.79</f>
        <v>21.677</v>
      </c>
      <c r="Q17" s="14">
        <f>1.96+2.13+4.13+3.58+0.98+0.36+2.07+2.6</f>
        <v>17.809999999999999</v>
      </c>
      <c r="R17" s="14">
        <f t="shared" ref="R17" si="10">1.96+2.13+4.13+2.57+0.455+0.684+0.45+3.06</f>
        <v>15.438999999999998</v>
      </c>
      <c r="S17" s="14">
        <f>1.96+2.13+2.82+1.34+2.57+0.455+0.684+0.45+1.96</f>
        <v>14.369</v>
      </c>
      <c r="T17" s="14">
        <f>1.96+2.13+4.13+2.57+0.455</f>
        <v>11.244999999999999</v>
      </c>
      <c r="U17" s="14">
        <v>0</v>
      </c>
    </row>
    <row r="18" spans="1:21" x14ac:dyDescent="0.25">
      <c r="A18" s="21" t="s">
        <v>5</v>
      </c>
      <c r="B18" s="14">
        <f>3.06+0.2+3.1</f>
        <v>6.36</v>
      </c>
      <c r="C18" s="14">
        <f>0.405+0.272+2.07+0.36+0.98+3.58+2.57+0.455+0.684</f>
        <v>11.375999999999999</v>
      </c>
      <c r="D18" s="14">
        <f>0.684+0.455+1.39+0.876+5.21+1.46+1.23</f>
        <v>11.305</v>
      </c>
      <c r="E18" s="14">
        <f>3.06+1.38</f>
        <v>4.4399999999999995</v>
      </c>
      <c r="F18" s="14">
        <f>3.72+3.1+3.06</f>
        <v>9.8800000000000008</v>
      </c>
      <c r="G18" s="14">
        <f>1.96+2.13+2.82+1.34+2.57+0.455+0.684</f>
        <v>11.959</v>
      </c>
      <c r="H18" s="17">
        <v>0</v>
      </c>
      <c r="I18" s="14">
        <f>2.57+0.455+0.684</f>
        <v>3.7090000000000001</v>
      </c>
      <c r="J18" s="14">
        <f>3.06+0.2</f>
        <v>3.2600000000000002</v>
      </c>
      <c r="K18" s="14">
        <f>3.06+0.2+1.38+0.388+2.2+0.293+2.6+0.272+0.405+5.79+3.89</f>
        <v>20.478000000000002</v>
      </c>
      <c r="L18" s="14">
        <f>1.96+2.13+2.82+1.34+2.57+0.455+0.684</f>
        <v>11.959</v>
      </c>
      <c r="M18" s="14">
        <f>1.34+2.57+0.455+0.684</f>
        <v>5.0490000000000004</v>
      </c>
      <c r="N18" s="14">
        <f>0.405+0.272+2.07+0.36+0.98+3.58+2.57+0.455+0.684</f>
        <v>11.375999999999999</v>
      </c>
      <c r="O18" s="14">
        <f>0.405+0.272+2.07+0.36+0.98+3.58+2.57+0.455+0.684</f>
        <v>11.375999999999999</v>
      </c>
      <c r="P18" s="14">
        <f>3.06+0.2+1.38+0.388+2.2+0.293+2.6+0.272+0.405+5.79</f>
        <v>16.588000000000001</v>
      </c>
      <c r="Q18" s="14">
        <f>3.06+0.2+1.38+0.388+2.2+0.293</f>
        <v>7.5210000000000008</v>
      </c>
      <c r="R18" s="14">
        <f>3.06+0.2</f>
        <v>3.2600000000000002</v>
      </c>
      <c r="S18" s="14">
        <v>1.96</v>
      </c>
      <c r="T18" s="14">
        <f>0.684</f>
        <v>0.68400000000000005</v>
      </c>
      <c r="U18" s="14">
        <v>11.959</v>
      </c>
    </row>
    <row r="19" spans="1:21" x14ac:dyDescent="0.25">
      <c r="A19" s="21" t="s">
        <v>6</v>
      </c>
      <c r="B19" s="14">
        <f>2.57+0.455+0.684+0.45+3.06+3.1</f>
        <v>10.318999999999999</v>
      </c>
      <c r="C19" s="14">
        <f>3.58+0.98+0.36+2.07+0.272+0.405+1.34</f>
        <v>9.0070000000000014</v>
      </c>
      <c r="D19" s="14">
        <f>1.34+2.82+2.13+1.96+4.14</f>
        <v>12.39</v>
      </c>
      <c r="E19" s="14">
        <f>2.57+0.455+0.684+0.45+3.06+1.38</f>
        <v>8.5990000000000002</v>
      </c>
      <c r="F19" s="14">
        <f>2.57+1.39+2.05+9.89</f>
        <v>15.9</v>
      </c>
      <c r="G19" s="14">
        <f>1.34+2.82+2.13+1.96</f>
        <v>8.25</v>
      </c>
      <c r="H19" s="14">
        <f>2.57+0.455+0.684</f>
        <v>3.7090000000000001</v>
      </c>
      <c r="I19" s="17">
        <v>0</v>
      </c>
      <c r="J19" s="14">
        <f t="shared" ref="J19" si="11">2.57+0.455+0.684+0.45+3.06</f>
        <v>7.2189999999999994</v>
      </c>
      <c r="K19" s="14">
        <f>3.58+0.98+0.36+2.07+0.272+0.405+5.79+3.89</f>
        <v>17.347000000000001</v>
      </c>
      <c r="L19" s="14">
        <f>1.34+2.82+2.13+1.96</f>
        <v>8.25</v>
      </c>
      <c r="M19" s="18">
        <v>1.37</v>
      </c>
      <c r="N19" s="14">
        <f>3.58+0.98+0.36+2.07</f>
        <v>6.99</v>
      </c>
      <c r="O19" s="14">
        <f>3.58+0.98+0.36+2.07+0.272+0.405+1.34</f>
        <v>9.0070000000000014</v>
      </c>
      <c r="P19" s="14">
        <f>3.58+0.98+0.36+2.07+0.272+0.405+5.79</f>
        <v>13.457000000000001</v>
      </c>
      <c r="Q19" s="14">
        <f>3.58+0.98+0.36+2.07+2.6</f>
        <v>9.59</v>
      </c>
      <c r="R19" s="14">
        <f t="shared" ref="R19" si="12">2.57+0.455+0.684+0.45+3.06</f>
        <v>7.2189999999999994</v>
      </c>
      <c r="S19" s="14">
        <f>2.57+0.455+0.684+0.45+1.96</f>
        <v>6.1189999999999998</v>
      </c>
      <c r="T19" s="14">
        <f>2.57+0.455</f>
        <v>3.0249999999999999</v>
      </c>
      <c r="U19" s="14">
        <v>8.25</v>
      </c>
    </row>
    <row r="20" spans="1:21" x14ac:dyDescent="0.25">
      <c r="A20" s="21" t="s">
        <v>8</v>
      </c>
      <c r="B20" s="14">
        <v>3.1</v>
      </c>
      <c r="C20" s="14">
        <f t="shared" ref="C20:O20" si="13">0.405+0.272+2.6+0.293+2.2+0.388+1.38</f>
        <v>7.5380000000000003</v>
      </c>
      <c r="D20" s="14">
        <v>14.815</v>
      </c>
      <c r="E20" s="14">
        <f>1.38</f>
        <v>1.38</v>
      </c>
      <c r="F20" s="14">
        <f>3.72+3.1</f>
        <v>6.82</v>
      </c>
      <c r="G20" s="14">
        <f t="shared" ref="G20:L20" si="14">1.96+2.13+4.13+2.57+0.455+0.684+0.45+3.06</f>
        <v>15.438999999999998</v>
      </c>
      <c r="H20" s="14">
        <f>3.06+0.2</f>
        <v>3.2600000000000002</v>
      </c>
      <c r="I20" s="14">
        <f t="shared" ref="I20" si="15">2.57+0.455+0.684+0.45+3.06</f>
        <v>7.2189999999999994</v>
      </c>
      <c r="J20" s="17">
        <v>0</v>
      </c>
      <c r="K20" s="14">
        <f>3.89+5.79+0.405+0.272+2.6+0.293+2.2+0.388+1.38</f>
        <v>17.218</v>
      </c>
      <c r="L20" s="14">
        <f t="shared" si="14"/>
        <v>15.438999999999998</v>
      </c>
      <c r="M20" s="14">
        <f>2.57+0.455+0.684+0.45+3.06+1.34</f>
        <v>8.5589999999999993</v>
      </c>
      <c r="N20" s="14">
        <f t="shared" si="13"/>
        <v>7.5380000000000003</v>
      </c>
      <c r="O20" s="14">
        <f t="shared" si="13"/>
        <v>7.5380000000000003</v>
      </c>
      <c r="P20" s="14">
        <f>1.38+0.388+2.2+0.293+2.6+0.272+0.405+5.79</f>
        <v>13.328000000000001</v>
      </c>
      <c r="Q20" s="14">
        <f>1.38+0.388+2.2+0.293</f>
        <v>4.2610000000000001</v>
      </c>
      <c r="R20" s="14">
        <v>0</v>
      </c>
      <c r="S20" s="14">
        <v>1.1000000000000001</v>
      </c>
      <c r="T20" s="14">
        <f>3.06+0.45+0.684</f>
        <v>4.194</v>
      </c>
      <c r="U20" s="14">
        <v>15.438999999999998</v>
      </c>
    </row>
    <row r="21" spans="1:21" x14ac:dyDescent="0.25">
      <c r="A21" s="21" t="s">
        <v>7</v>
      </c>
      <c r="B21" s="14">
        <f>3.89+5.79+0.405+0.272+2.6+0.293+2.2+0.388+1.38+3.1</f>
        <v>20.318000000000001</v>
      </c>
      <c r="C21" s="14">
        <f>3.89+5.79</f>
        <v>9.68</v>
      </c>
      <c r="D21" s="14">
        <f>4.14+1.96+2.13+4.13+3.58+0.98+0.36+2.07+0.272+0.405+5.79+3.89</f>
        <v>29.706999999999997</v>
      </c>
      <c r="E21" s="14">
        <f>3.89+5.79+0.405+0.272+0.879+1.81+0.293+2.2+0.388</f>
        <v>15.926999999999998</v>
      </c>
      <c r="F21" s="14">
        <f>3.72+3.1+1.38+0.388+2.2+0.293+1.81+0.879+0.272+0.405+5.79+3.89</f>
        <v>24.126999999999999</v>
      </c>
      <c r="G21" s="14">
        <f>1.96+2.13+4.13+3.58+0.98+0.36+2.07+0.272+0.405+5.79+3.89</f>
        <v>25.567</v>
      </c>
      <c r="H21" s="14">
        <f>3.06+0.2+1.38+0.388+2.2+0.293+2.6+0.272+0.405+5.79+3.89</f>
        <v>20.478000000000002</v>
      </c>
      <c r="I21" s="14">
        <f>3.58+0.98+0.36+2.07+0.272+0.405+5.79+3.89</f>
        <v>17.347000000000001</v>
      </c>
      <c r="J21" s="14">
        <f>3.89+5.79+0.405+0.272+2.6+0.293+2.2+0.388+1.38</f>
        <v>17.218</v>
      </c>
      <c r="K21" s="17">
        <v>0</v>
      </c>
      <c r="L21" s="14">
        <f>1.96+2.13+4.13+3.58+0.98+0.36+2.07+0.272+0.405+5.79+3.89</f>
        <v>25.567</v>
      </c>
      <c r="M21" s="14">
        <f>3.58+0.98+0.36+2.07+0.272+0.405+5.79+3.89+1.34</f>
        <v>18.687000000000001</v>
      </c>
      <c r="N21" s="14">
        <f>3.89+5.79</f>
        <v>9.68</v>
      </c>
      <c r="O21" s="14">
        <f>3.89+5.79</f>
        <v>9.68</v>
      </c>
      <c r="P21" s="14">
        <v>3.89</v>
      </c>
      <c r="Q21" s="14">
        <f>3.89+5.79+0.405+0.272+2.6</f>
        <v>12.956999999999999</v>
      </c>
      <c r="R21" s="14">
        <f>3.89+5.79+0.405+0.272+2.6+0.293+2.2+0.388+1.38</f>
        <v>17.218</v>
      </c>
      <c r="S21" s="14">
        <f>1.1+1.38+0.388+2.2+0.293+2.6+0.272+0.405+5.79+3.89</f>
        <v>18.318000000000001</v>
      </c>
      <c r="T21" s="14">
        <f>3.89+5.79+0.405+0.272+2.07+0.36+0.98+3.58+2.57+0.455</f>
        <v>20.372</v>
      </c>
      <c r="U21" s="14">
        <v>25.567</v>
      </c>
    </row>
    <row r="22" spans="1:21" x14ac:dyDescent="0.25">
      <c r="A22" s="23"/>
      <c r="B22" s="4"/>
      <c r="C22" s="4"/>
      <c r="D22" s="4"/>
      <c r="E22" s="4"/>
      <c r="F22" s="4"/>
      <c r="G22" s="4"/>
      <c r="H22" s="4"/>
      <c r="I22" s="4"/>
      <c r="J22" s="4"/>
      <c r="K22" s="4"/>
      <c r="L22" s="4"/>
      <c r="M22" s="4"/>
      <c r="N22" s="4"/>
      <c r="O22" s="4"/>
      <c r="P22" s="4"/>
      <c r="Q22" s="4"/>
      <c r="R22" s="4"/>
      <c r="S22" s="4"/>
      <c r="T22" s="4"/>
      <c r="U22" s="4"/>
    </row>
    <row r="23" spans="1:21" x14ac:dyDescent="0.25">
      <c r="B23"/>
      <c r="C23"/>
      <c r="D23"/>
      <c r="E23"/>
      <c r="F23"/>
      <c r="G23"/>
      <c r="H23"/>
      <c r="M23" s="1"/>
    </row>
    <row r="24" spans="1:21" ht="105" x14ac:dyDescent="0.25">
      <c r="A24" s="15" t="s">
        <v>15</v>
      </c>
      <c r="B24" s="12" t="s">
        <v>0</v>
      </c>
      <c r="C24" s="12" t="s">
        <v>9</v>
      </c>
      <c r="D24" s="12" t="s">
        <v>1</v>
      </c>
      <c r="E24" s="12" t="s">
        <v>2</v>
      </c>
      <c r="F24" s="12" t="s">
        <v>3</v>
      </c>
      <c r="G24" s="12" t="s">
        <v>4</v>
      </c>
      <c r="H24" s="12" t="s">
        <v>5</v>
      </c>
      <c r="I24" s="12" t="s">
        <v>6</v>
      </c>
      <c r="J24" s="12" t="s">
        <v>8</v>
      </c>
      <c r="K24" s="12" t="s">
        <v>7</v>
      </c>
      <c r="L24" s="13" t="s">
        <v>31</v>
      </c>
      <c r="M24" s="13" t="s">
        <v>32</v>
      </c>
      <c r="N24" s="13" t="s">
        <v>28</v>
      </c>
      <c r="O24" s="13" t="s">
        <v>33</v>
      </c>
      <c r="P24" s="13" t="s">
        <v>29</v>
      </c>
      <c r="Q24" s="13" t="s">
        <v>30</v>
      </c>
      <c r="R24" s="13" t="s">
        <v>34</v>
      </c>
      <c r="S24" s="13" t="s">
        <v>35</v>
      </c>
      <c r="T24" s="13" t="s">
        <v>36</v>
      </c>
      <c r="U24" s="13" t="s">
        <v>37</v>
      </c>
    </row>
    <row r="25" spans="1:21" x14ac:dyDescent="0.25">
      <c r="A25" s="13" t="s">
        <v>31</v>
      </c>
      <c r="B25" s="14">
        <f>1.96+2.13+2.82+1.34+2.57+0.455+0.684+0.203+3.06+3.1</f>
        <v>18.321999999999999</v>
      </c>
      <c r="C25" s="14">
        <f>0.405+0.272+2.07+3.61+3.58+1.34+2.82+2.13+1.96</f>
        <v>18.187000000000001</v>
      </c>
      <c r="D25" s="14">
        <v>4.1399999999999997</v>
      </c>
      <c r="E25" s="14">
        <f>1.96+2.13+2.82+1.34+2.57+0.455+0.684+0.203+3.06+1.38</f>
        <v>16.602</v>
      </c>
      <c r="F25" s="14">
        <f>1.96+2.13+2.82+1.34+2.57+0.455+0.684+0.203+3.06+3.1+3.72</f>
        <v>22.041999999999998</v>
      </c>
      <c r="G25" s="14">
        <v>0</v>
      </c>
      <c r="H25" s="14">
        <f>1.96+2.13+2.82+1.34+2.57+0.455+0.684</f>
        <v>11.959</v>
      </c>
      <c r="I25" s="16">
        <f>1.34+2.82+2.13+1.96</f>
        <v>8.25</v>
      </c>
      <c r="J25" s="14">
        <f>1.96+2.13+2.82+1.34+2.57+0.455+0.684+0.203+3.06</f>
        <v>15.222</v>
      </c>
      <c r="K25" s="14">
        <f>5.79+0.405+0.272+2.07+3.61+3.58+1.34+2.82+2.13+1.96</f>
        <v>23.977</v>
      </c>
      <c r="L25" s="17">
        <v>0</v>
      </c>
      <c r="M25" s="16">
        <f>2.82+2.13+1.96</f>
        <v>6.9099999999999993</v>
      </c>
      <c r="N25" s="14">
        <f>0.405+0.272+2.07+3.61+3.58+1.34+2.82+2.13+1.96</f>
        <v>18.187000000000001</v>
      </c>
      <c r="O25" s="14">
        <f>0.405+0.272+2.07+3.61+3.58+1.34+2.82+2.13+1.96</f>
        <v>18.187000000000001</v>
      </c>
      <c r="P25" s="14">
        <f>5.79+0.405+0.272+2.07+3.61+3.58+1.34+2.82+2.13+1.96</f>
        <v>23.977</v>
      </c>
      <c r="Q25" s="14">
        <f>1.96+2.13+2.82+1.34+3.58+3.61+2.07+0.272+0.464+3.8</f>
        <v>22.045999999999996</v>
      </c>
      <c r="R25" s="14">
        <f>1.96+2.13+2.82+1.34+2.57+0.455+0.684+0.203+3.06</f>
        <v>15.222</v>
      </c>
      <c r="S25" s="14">
        <f>1.96+2.13+2.82+1.34+2.57+0.455+0.684+0.45+1.96</f>
        <v>14.369</v>
      </c>
      <c r="T25" s="14">
        <f>1.96+2.13+2.82+1.34+2.57+0.455</f>
        <v>11.275</v>
      </c>
      <c r="U25" s="14">
        <v>0</v>
      </c>
    </row>
    <row r="26" spans="1:21" ht="30" x14ac:dyDescent="0.25">
      <c r="A26" s="13" t="s">
        <v>32</v>
      </c>
      <c r="B26" s="14">
        <f>1.34+2.57+0.455+0.684+0.203+3.06+3.1</f>
        <v>11.412000000000001</v>
      </c>
      <c r="C26" s="14">
        <f>1.34+3.58+3.61+2.07+0.272+0.405</f>
        <v>11.276999999999999</v>
      </c>
      <c r="D26" s="14">
        <f>2.82+2.13+1.96+4.14</f>
        <v>11.049999999999999</v>
      </c>
      <c r="E26" s="14">
        <f>1.34+3.58+3.61+2.07+0.272+0.464+3.8+0.293+2.74+0.388+0.387</f>
        <v>18.943999999999999</v>
      </c>
      <c r="F26" s="14">
        <f>1.34+2.57+1.39+2.05+9.89</f>
        <v>17.240000000000002</v>
      </c>
      <c r="G26" s="14">
        <f>2.82+2.13+1.96</f>
        <v>6.9099999999999993</v>
      </c>
      <c r="H26" s="14">
        <f>1.34+2.57+0.455+0.684</f>
        <v>5.0490000000000004</v>
      </c>
      <c r="I26" s="18">
        <v>1.37</v>
      </c>
      <c r="J26" s="14">
        <f>1.34+2.57+0.455+0.684+0.203+3.06</f>
        <v>8.3120000000000012</v>
      </c>
      <c r="K26" s="14">
        <f>1.34+3.58+3.61+2.07+0.272+0.405+5.79</f>
        <v>17.067</v>
      </c>
      <c r="L26" s="16">
        <f>2.82+2.13+1.96</f>
        <v>6.9099999999999993</v>
      </c>
      <c r="M26" s="19">
        <v>0</v>
      </c>
      <c r="N26" s="16">
        <f>1.34+3.58+3.61+2.07+0.272+0.405</f>
        <v>11.276999999999999</v>
      </c>
      <c r="O26" s="16">
        <f>1.34+3.58+3.61+2.07+0.272+0.405</f>
        <v>11.276999999999999</v>
      </c>
      <c r="P26" s="14">
        <f>1.34+3.58+3.61+2.07+0.272+0.405+5.79</f>
        <v>17.067</v>
      </c>
      <c r="Q26" s="14">
        <f>1.34+3.58+3.61+2.07+0.272+0.464+3.8</f>
        <v>15.135999999999999</v>
      </c>
      <c r="R26" s="14">
        <f>1.34+2.57+0.455+0.684+0.203+3.06</f>
        <v>8.3120000000000012</v>
      </c>
      <c r="S26" s="14">
        <f>1.34+2.57+0.455+0.684+0.45+1.96</f>
        <v>7.4590000000000005</v>
      </c>
      <c r="T26" s="14">
        <f>2.57+0.455+1.34</f>
        <v>4.3650000000000002</v>
      </c>
      <c r="U26" s="16">
        <f>2.82+2.13+1.96</f>
        <v>6.9099999999999993</v>
      </c>
    </row>
    <row r="27" spans="1:21" x14ac:dyDescent="0.25">
      <c r="A27" s="13" t="s">
        <v>28</v>
      </c>
      <c r="B27" s="14">
        <f>0.405+0.464+3.8+0.293+2.74+4.31+3.1</f>
        <v>15.112</v>
      </c>
      <c r="C27" s="14">
        <v>0</v>
      </c>
      <c r="D27" s="14">
        <f>0.405+0.272+2.07+3.61+3.58+1.34+2.82+2.13+1.96+4.14</f>
        <v>22.327000000000002</v>
      </c>
      <c r="E27" s="14">
        <f>0.405+0.464+3.8+0.293+2.74+0.388+0.387</f>
        <v>8.4770000000000003</v>
      </c>
      <c r="F27" s="14">
        <f>3.72+3.1+4.31+2.74+0.293+3.8+0.464+0.405</f>
        <v>18.831999999999997</v>
      </c>
      <c r="G27" s="14">
        <f>0.405+0.272+2.07+3.61+3.58+1.34+2.82+2.13+1.96</f>
        <v>18.187000000000001</v>
      </c>
      <c r="H27" s="14">
        <f>0.405+0.272+2.07+3.61+3.58+2.57+0.455+0.684</f>
        <v>13.645999999999999</v>
      </c>
      <c r="I27" s="14">
        <f>3.58+3.61+2.07+0.272+0.405</f>
        <v>9.9369999999999994</v>
      </c>
      <c r="J27" s="14">
        <f>0.405+0.464+3.8+0.293+2.74+4.31</f>
        <v>12.012</v>
      </c>
      <c r="K27" s="14">
        <f>0.405+5.79</f>
        <v>6.1950000000000003</v>
      </c>
      <c r="L27" s="14">
        <f>0.405+0.272+2.07+3.61+3.58+1.34+2.82+2.13+1.96</f>
        <v>18.187000000000001</v>
      </c>
      <c r="M27" s="16">
        <f>1.34+3.58+3.61+2.07+0.272+0.405</f>
        <v>11.276999999999999</v>
      </c>
      <c r="N27" s="17">
        <v>0</v>
      </c>
      <c r="O27" s="17">
        <v>0</v>
      </c>
      <c r="P27" s="14">
        <f>0.405+5.79</f>
        <v>6.1950000000000003</v>
      </c>
      <c r="Q27" s="14">
        <f>0.405+0.464+3.8</f>
        <v>4.6689999999999996</v>
      </c>
      <c r="R27" s="14">
        <f>0.405+0.464+3.8+0.293+2.74+4.31</f>
        <v>12.012</v>
      </c>
      <c r="S27" s="14">
        <f>0.405+0.272+2.07+3.61+3.58+2.57+0.455+0.684+0.45+1.96</f>
        <v>16.055999999999997</v>
      </c>
      <c r="T27" s="14">
        <f>0.405+0.272+2.07+3.61+3.58+2.57+0.455</f>
        <v>12.962</v>
      </c>
      <c r="U27" s="14">
        <f>0.405+0.272+2.07+3.61+3.58+1.34+2.82+2.13+1.96</f>
        <v>18.187000000000001</v>
      </c>
    </row>
    <row r="28" spans="1:21" ht="30" x14ac:dyDescent="0.25">
      <c r="A28" s="13" t="s">
        <v>33</v>
      </c>
      <c r="B28" s="14">
        <f>0.405+0.464+3.8+0.293+2.74+4.31+3.1</f>
        <v>15.112</v>
      </c>
      <c r="C28" s="14">
        <v>0</v>
      </c>
      <c r="D28" s="14">
        <f>0.405+0.272+2.07+3.61+3.58+1.34+2.82+2.13+1.96+4.14</f>
        <v>22.327000000000002</v>
      </c>
      <c r="E28" s="14">
        <f>0.405+0.464+3.8+0.293+2.74+0.388+0.387</f>
        <v>8.4770000000000003</v>
      </c>
      <c r="F28" s="14">
        <f>3.72+3.1+4.31+2.74+0.293+3.8+0.464+0.405</f>
        <v>18.831999999999997</v>
      </c>
      <c r="G28" s="14">
        <f>0.405+0.272+2.07+3.61+3.58+1.34+2.82+2.13+1.96</f>
        <v>18.187000000000001</v>
      </c>
      <c r="H28" s="14">
        <f>0.405+0.272+2.07+3.61+3.58+2.57+0.455+0.684</f>
        <v>13.645999999999999</v>
      </c>
      <c r="I28" s="14">
        <f>3.58+3.61+2.07+0.272+0.405</f>
        <v>9.9369999999999994</v>
      </c>
      <c r="J28" s="14">
        <f>0.405+0.464+3.8+0.293+2.74+4.31</f>
        <v>12.012</v>
      </c>
      <c r="K28" s="14">
        <f>0.405+5.79</f>
        <v>6.1950000000000003</v>
      </c>
      <c r="L28" s="14">
        <f>0.405+0.272+2.07+3.61+3.58+1.34+2.82+2.13+1.96</f>
        <v>18.187000000000001</v>
      </c>
      <c r="M28" s="16">
        <f>1.34+3.58+3.61+2.07+0.272+0.405</f>
        <v>11.276999999999999</v>
      </c>
      <c r="N28" s="17">
        <v>0</v>
      </c>
      <c r="O28" s="17">
        <v>0</v>
      </c>
      <c r="P28" s="14">
        <f>0.405+5.79</f>
        <v>6.1950000000000003</v>
      </c>
      <c r="Q28" s="14">
        <f>0.405+0.464+3.8</f>
        <v>4.6689999999999996</v>
      </c>
      <c r="R28" s="14">
        <f>0.405+0.464+3.8+0.293+2.74+4.31</f>
        <v>12.012</v>
      </c>
      <c r="S28" s="14">
        <f>0.405+0.272+2.07+3.61+3.58+2.57+0.455+0.684+0.45+1.96</f>
        <v>16.055999999999997</v>
      </c>
      <c r="T28" s="14">
        <f>0.405+0.272+2.07+3.61+3.58+2.57+0.455</f>
        <v>12.962</v>
      </c>
      <c r="U28" s="14">
        <f>0.405+0.272+2.07+3.61+3.58+1.34+2.82+2.13+1.96</f>
        <v>18.187000000000001</v>
      </c>
    </row>
    <row r="29" spans="1:21" ht="30" x14ac:dyDescent="0.25">
      <c r="A29" s="13" t="s">
        <v>29</v>
      </c>
      <c r="B29" s="14">
        <f>5.79+0.405+0.463+3.8+0.293+2.74+4.31+3.1</f>
        <v>20.901</v>
      </c>
      <c r="C29" s="14">
        <f>0.405+5.79</f>
        <v>6.1950000000000003</v>
      </c>
      <c r="D29" s="14">
        <f>5.79+0.405+0.272+2.07+3.61+3.58+1.34+2.82+2.13+1.96+4.14</f>
        <v>28.117000000000001</v>
      </c>
      <c r="E29" s="14">
        <f>0.388+0.387+2.74+0.293+3.8+0.464+0.405+5.79</f>
        <v>14.266999999999999</v>
      </c>
      <c r="F29" s="14">
        <f>3.72+3.1+4.31+2.74+0.293+3.8+0.464+0.405+5.79</f>
        <v>24.621999999999996</v>
      </c>
      <c r="G29" s="14">
        <f>5.79+0.405+0.272+2.07+3.61+3.58+1.34+2.82+2.13+1.96</f>
        <v>23.977</v>
      </c>
      <c r="H29" s="14">
        <f>0.203+3.06+4.31+2.74+0.293+3.8+0.464+0.405+5.79</f>
        <v>21.064999999999998</v>
      </c>
      <c r="I29" s="14">
        <f>3.58+3.61+2.07+0.272+0.405+5.79</f>
        <v>15.727</v>
      </c>
      <c r="J29" s="14">
        <f>4.31+2.74+0.293+3.8+0.464+0.405+5.79</f>
        <v>17.802</v>
      </c>
      <c r="K29" s="14">
        <v>3.89</v>
      </c>
      <c r="L29" s="14">
        <f>5.79+0.405+0.272+2.07+3.61+3.58+1.34+2.82+2.13+1.96</f>
        <v>23.977</v>
      </c>
      <c r="M29" s="14">
        <f>1.34+3.58+3.61+2.07+0.272+0.405+5.79</f>
        <v>17.067</v>
      </c>
      <c r="N29" s="14">
        <f>0.405+5.79</f>
        <v>6.1950000000000003</v>
      </c>
      <c r="O29" s="14">
        <f>0.405+5.79</f>
        <v>6.1950000000000003</v>
      </c>
      <c r="P29" s="17">
        <v>0</v>
      </c>
      <c r="Q29" s="14">
        <f>3.8+0.464+0.405+5.79</f>
        <v>10.459</v>
      </c>
      <c r="R29" s="14">
        <f>4.31+2.74+0.293+3.8+0.464+0.405+5.79</f>
        <v>17.802</v>
      </c>
      <c r="S29" s="14">
        <f>1.1+4.31+2.74+0.293+3.8+0.464+0.405+5.79</f>
        <v>18.901999999999997</v>
      </c>
      <c r="T29" s="14">
        <f>0.684+0.203+3.06+4.31+2.74+0.293+3.8+0.464+0.405+5.79</f>
        <v>21.748999999999999</v>
      </c>
      <c r="U29" s="14">
        <f>5.79+0.405+0.272+2.07+3.61+3.58+1.34+2.82+2.13+1.96</f>
        <v>23.977</v>
      </c>
    </row>
    <row r="30" spans="1:21" x14ac:dyDescent="0.25">
      <c r="A30" s="13" t="s">
        <v>30</v>
      </c>
      <c r="B30" s="14">
        <f>0.293+2.74+4.31+3.1</f>
        <v>10.443</v>
      </c>
      <c r="C30" s="14">
        <f>0.405+0.464+3.8</f>
        <v>4.6689999999999996</v>
      </c>
      <c r="D30" s="14">
        <f>4.14+1.96+2.13+2.82+1.34+3.58+3.61+2.07+0.272+0.464+3.8</f>
        <v>26.186</v>
      </c>
      <c r="E30" s="14">
        <f>0.293+2.74+0.388+0.387</f>
        <v>3.8080000000000003</v>
      </c>
      <c r="F30" s="14">
        <f>3.72+3.1+4.31+2.74+0.293</f>
        <v>14.162999999999998</v>
      </c>
      <c r="G30" s="14">
        <f>1.96+2.13+2.82+1.34+3.58+3.61+2.07+0.272+0.464+3.8</f>
        <v>22.045999999999996</v>
      </c>
      <c r="H30" s="14">
        <f>0.203+3.06+4.31+2.74+0.293</f>
        <v>10.605999999999998</v>
      </c>
      <c r="I30" s="14">
        <f>3.58+3.61+2.07+0.272+0.464+3.8</f>
        <v>13.795999999999999</v>
      </c>
      <c r="J30" s="14">
        <f>4.31+2.74+0.293</f>
        <v>7.343</v>
      </c>
      <c r="K30" s="14">
        <f>3.8+0.464+0.405+5.79+3.89</f>
        <v>14.349</v>
      </c>
      <c r="L30" s="14">
        <f>1.96+2.13+2.82+1.34+3.58+3.61+2.07+0.272+0.464+3.8</f>
        <v>22.045999999999996</v>
      </c>
      <c r="M30" s="14">
        <f>1.34+3.58+3.61+2.07+0.272+0.464+3.8</f>
        <v>15.135999999999999</v>
      </c>
      <c r="N30" s="14">
        <f>0.405+0.464+3.8</f>
        <v>4.6689999999999996</v>
      </c>
      <c r="O30" s="14">
        <f>0.405+0.464+3.8</f>
        <v>4.6689999999999996</v>
      </c>
      <c r="P30" s="14">
        <f>3.8+0.464+0.405+5.79</f>
        <v>10.459</v>
      </c>
      <c r="Q30" s="17">
        <v>0</v>
      </c>
      <c r="R30" s="14">
        <f>4.31+2.74+0.293</f>
        <v>7.343</v>
      </c>
      <c r="S30" s="14">
        <f>1.1+4.31+2.74+0.293</f>
        <v>8.4429999999999996</v>
      </c>
      <c r="T30" s="14">
        <f>0.684+0.203+3.06+4.31+2.74+0.293</f>
        <v>11.29</v>
      </c>
      <c r="U30" s="14">
        <f>1.96+2.13+2.82+1.34+3.58+3.61+2.07+0.272+0.464+3.8</f>
        <v>22.045999999999996</v>
      </c>
    </row>
    <row r="31" spans="1:21" ht="30" x14ac:dyDescent="0.25">
      <c r="A31" s="13" t="s">
        <v>34</v>
      </c>
      <c r="B31" s="14">
        <v>3.1</v>
      </c>
      <c r="C31" s="14">
        <f>0.405+0.464+3.8+0.293+2.74+4.31</f>
        <v>12.012</v>
      </c>
      <c r="D31" s="14">
        <f>1.23+1.46+5.21+0.876+1.39+0.455+0.684+0.203+3.06</f>
        <v>14.568</v>
      </c>
      <c r="E31" s="14">
        <f>0.388+0.387+4.31</f>
        <v>5.085</v>
      </c>
      <c r="F31" s="14">
        <f>3.1+3.72</f>
        <v>6.82</v>
      </c>
      <c r="G31" s="14">
        <f t="shared" ref="G31:L31" si="16">1.96+2.13+2.82+1.34+2.57+0.455+0.684+0.203+3.06</f>
        <v>15.222</v>
      </c>
      <c r="H31" s="14">
        <f>3.06+0.203</f>
        <v>3.2629999999999999</v>
      </c>
      <c r="I31" s="14">
        <f>2.57+0.455+0.684+0.203+3.06</f>
        <v>6.9719999999999995</v>
      </c>
      <c r="J31" s="14">
        <v>0</v>
      </c>
      <c r="K31" s="14">
        <f>4.31+2.74+0.293+3.8+0.464+0.405+5.79+3.89</f>
        <v>21.692</v>
      </c>
      <c r="L31" s="14">
        <f t="shared" si="16"/>
        <v>15.222</v>
      </c>
      <c r="M31" s="14">
        <f>1.34+2.57+0.455+0.684+0.203+3.06</f>
        <v>8.3120000000000012</v>
      </c>
      <c r="N31" s="14">
        <f>0.405+0.464+3.8+0.293+2.74+4.31</f>
        <v>12.012</v>
      </c>
      <c r="O31" s="14">
        <f>0.405+0.464+3.8+0.293+2.74+4.31</f>
        <v>12.012</v>
      </c>
      <c r="P31" s="14">
        <f>4.31+2.74+0.293+3.8+0.464+0.405+5.79</f>
        <v>17.802</v>
      </c>
      <c r="Q31" s="14">
        <f>4.31+2.74+0.293</f>
        <v>7.343</v>
      </c>
      <c r="R31" s="17">
        <v>0</v>
      </c>
      <c r="S31" s="14">
        <v>1.1000000000000001</v>
      </c>
      <c r="T31" s="14">
        <f>3.06+0.203+0.684</f>
        <v>3.9470000000000001</v>
      </c>
      <c r="U31" s="14">
        <f t="shared" ref="U31" si="17">1.96+2.13+2.82+1.34+2.57+0.455+0.684+0.203+3.06</f>
        <v>15.222</v>
      </c>
    </row>
    <row r="32" spans="1:21" ht="45" x14ac:dyDescent="0.25">
      <c r="A32" s="13" t="s">
        <v>35</v>
      </c>
      <c r="B32" s="14">
        <f>1.1+3.1</f>
        <v>4.2</v>
      </c>
      <c r="C32" s="14">
        <f>0.405+0.272+2.07+3.61+3.58+2.57+0.455+0.684+0.45+1.96</f>
        <v>16.055999999999997</v>
      </c>
      <c r="D32" s="14">
        <f>1.96+0.45+0.684+0.455+1.39+0.876+5.21+1.46+1.23</f>
        <v>13.715</v>
      </c>
      <c r="E32" s="14">
        <f>1.1+4.31+0.387</f>
        <v>5.7970000000000006</v>
      </c>
      <c r="F32" s="14">
        <f>3.72+3.1+1.1</f>
        <v>7.92</v>
      </c>
      <c r="G32" s="14">
        <f>1.96+2.13+2.82+1.34+2.57+0.455+0.684+0.45+1.96</f>
        <v>14.369</v>
      </c>
      <c r="H32" s="14">
        <v>1.96</v>
      </c>
      <c r="I32" s="14">
        <f>2.57+0.455+0.684+0.45+1.96</f>
        <v>6.1189999999999998</v>
      </c>
      <c r="J32" s="14">
        <v>1.1000000000000001</v>
      </c>
      <c r="K32" s="14">
        <f>1.1+4.31+2.74+0.293+3.8+0.464+0.405+5.79+3.89</f>
        <v>22.791999999999998</v>
      </c>
      <c r="L32" s="14">
        <f>1.96+2.13+2.82+1.34+2.57+0.455+0.684+0.45+1.96</f>
        <v>14.369</v>
      </c>
      <c r="M32" s="14">
        <f>1.34+2.57+0.455+0.684+0.45+1.96</f>
        <v>7.4590000000000005</v>
      </c>
      <c r="N32" s="14">
        <f>0.405+0.272+2.07+3.61+3.58+2.57+0.455+0.684+0.45+1.96</f>
        <v>16.055999999999997</v>
      </c>
      <c r="O32" s="14">
        <f>0.405+0.272+2.07+3.61+3.58+2.57+0.455+0.684+0.45+1.96</f>
        <v>16.055999999999997</v>
      </c>
      <c r="P32" s="14">
        <f>1.1+4.31+2.74+0.293+3.8+0.464+0.405+5.79</f>
        <v>18.901999999999997</v>
      </c>
      <c r="Q32" s="14">
        <f>1.1+4.31+2.74+0.293</f>
        <v>8.4429999999999996</v>
      </c>
      <c r="R32" s="14">
        <v>1.1000000000000001</v>
      </c>
      <c r="S32" s="17">
        <v>0</v>
      </c>
      <c r="T32" s="14">
        <f>0.684+0.45+1.1</f>
        <v>2.234</v>
      </c>
      <c r="U32" s="14">
        <f>1.96+2.13+2.82+1.34+2.57+0.455+0.684+0.45+1.96</f>
        <v>14.369</v>
      </c>
    </row>
    <row r="33" spans="1:21" ht="30" x14ac:dyDescent="0.25">
      <c r="A33" s="13" t="s">
        <v>36</v>
      </c>
      <c r="B33" s="14">
        <f>3.1+3.06+0.203+0.684</f>
        <v>7.0470000000000006</v>
      </c>
      <c r="C33" s="14">
        <f>0.405+0.272+2.07+3.61+3.58+2.57+0.455</f>
        <v>12.962</v>
      </c>
      <c r="D33" s="14">
        <f>1.23+1.46+5.21+0.876+1.39+0.455</f>
        <v>10.621</v>
      </c>
      <c r="E33" s="14">
        <f>0.684+0.203+3.06+4.31+0.387+0.388</f>
        <v>9.032</v>
      </c>
      <c r="F33" s="14">
        <f>3.72+3.1+3.06+0.203+0.684</f>
        <v>10.766999999999999</v>
      </c>
      <c r="G33" s="14">
        <f>1.96+2.13+2.82+1.34+2.57+0.455</f>
        <v>11.275</v>
      </c>
      <c r="H33" s="14">
        <f>0.684</f>
        <v>0.68400000000000005</v>
      </c>
      <c r="I33" s="14">
        <f>2.57+0.455</f>
        <v>3.0249999999999999</v>
      </c>
      <c r="J33" s="14">
        <f>3.06+0.203+0.684</f>
        <v>3.9470000000000001</v>
      </c>
      <c r="K33" s="14">
        <f>0.684+0.203+3.06+4.31+2.74+0.293+3.8+0.464+0.405+5.79+3.89</f>
        <v>25.638999999999999</v>
      </c>
      <c r="L33" s="14">
        <f>1.96+2.13+2.82+1.34+2.57+0.455</f>
        <v>11.275</v>
      </c>
      <c r="M33" s="14">
        <f>2.57+0.455+1.34</f>
        <v>4.3650000000000002</v>
      </c>
      <c r="N33" s="14">
        <f>0.405+0.272+2.07+3.61+3.58+2.57+0.455</f>
        <v>12.962</v>
      </c>
      <c r="O33" s="14">
        <f>0.405+0.272+2.07+3.61+3.58+2.57+0.455</f>
        <v>12.962</v>
      </c>
      <c r="P33" s="14">
        <f>0.684+0.203+3.06+4.31+2.74+0.293+3.8+0.464+0.405+5.79</f>
        <v>21.748999999999999</v>
      </c>
      <c r="Q33" s="14">
        <f>0.684+0.203+3.06+4.31+2.74+0.293</f>
        <v>11.29</v>
      </c>
      <c r="R33" s="14">
        <f t="shared" ref="R33" si="18">3.06+0.203+0.684</f>
        <v>3.9470000000000001</v>
      </c>
      <c r="S33" s="14">
        <f>0.684+0.45+1.1</f>
        <v>2.234</v>
      </c>
      <c r="T33" s="17">
        <v>0</v>
      </c>
      <c r="U33" s="14">
        <f>1.96+2.13+2.82+1.34+2.57+0.455</f>
        <v>11.275</v>
      </c>
    </row>
    <row r="34" spans="1:21" x14ac:dyDescent="0.25">
      <c r="A34" s="13" t="s">
        <v>37</v>
      </c>
      <c r="B34" s="14">
        <f>1.96+2.13+2.82+1.34+2.57+0.455+0.684+0.203+3.06+3.1</f>
        <v>18.321999999999999</v>
      </c>
      <c r="C34" s="14">
        <f>0.405+0.272+2.07+3.61+3.58+1.34+2.82+2.13+1.96</f>
        <v>18.187000000000001</v>
      </c>
      <c r="D34" s="14">
        <v>4.1399999999999997</v>
      </c>
      <c r="E34" s="14">
        <f>1.96+2.13+2.82+1.34+2.57+0.455+0.684+0.203+3.06+1.38</f>
        <v>16.602</v>
      </c>
      <c r="F34" s="14">
        <f>1.96+2.13+2.82+1.34+2.57+0.455+0.684+0.203+3.06+3.1+3.72</f>
        <v>22.041999999999998</v>
      </c>
      <c r="G34" s="14">
        <v>0</v>
      </c>
      <c r="H34" s="14">
        <f>1.96+2.13+2.82+1.34+2.57+0.455+0.684</f>
        <v>11.959</v>
      </c>
      <c r="I34" s="16">
        <f>1.34+2.82+2.13+1.96</f>
        <v>8.25</v>
      </c>
      <c r="J34" s="14">
        <f>1.96+2.13+2.82+1.34+2.57+0.455+0.684+0.203+3.06</f>
        <v>15.222</v>
      </c>
      <c r="K34" s="14">
        <f>5.79+0.405+0.272+2.07+3.61+3.58+1.34+2.82+2.13+1.96</f>
        <v>23.977</v>
      </c>
      <c r="L34" s="14">
        <v>0</v>
      </c>
      <c r="M34" s="16">
        <f>2.82+2.13+1.96</f>
        <v>6.9099999999999993</v>
      </c>
      <c r="N34" s="14">
        <f>0.405+0.272+2.07+3.61+3.58+1.34+2.82+2.13+1.96</f>
        <v>18.187000000000001</v>
      </c>
      <c r="O34" s="14">
        <f>0.405+0.272+2.07+3.61+3.58+1.34+2.82+2.13+1.96</f>
        <v>18.187000000000001</v>
      </c>
      <c r="P34" s="14">
        <f>5.79+0.405+0.272+2.07+3.61+3.58+1.34+2.82+2.13+1.96</f>
        <v>23.977</v>
      </c>
      <c r="Q34" s="14">
        <f>1.96+2.13+2.82+1.34+3.58+3.61+2.07+0.272+0.464+3.8</f>
        <v>22.045999999999996</v>
      </c>
      <c r="R34" s="14">
        <f>1.96+2.13+2.82+1.34+2.57+0.455+0.684+0.203+3.06</f>
        <v>15.222</v>
      </c>
      <c r="S34" s="14">
        <f>1.96+2.13+2.82+1.34+2.57+0.455+0.684+0.45+1.96</f>
        <v>14.369</v>
      </c>
      <c r="T34" s="14">
        <f>1.96+2.13+2.82+1.34+2.57+0.455</f>
        <v>11.275</v>
      </c>
      <c r="U34" s="17">
        <v>0</v>
      </c>
    </row>
    <row r="35" spans="1:21" x14ac:dyDescent="0.25">
      <c r="A35" s="21" t="s">
        <v>0</v>
      </c>
      <c r="B35" s="17">
        <v>0</v>
      </c>
      <c r="C35" s="14">
        <f>0.405+0.464+3.8+0.293+2.74+4.31+3.1</f>
        <v>15.112</v>
      </c>
      <c r="D35" s="14">
        <f>1.23+1.46+5.21+0.876+1.39+0.455+0.684+0.203+3.06+3.1</f>
        <v>17.667999999999999</v>
      </c>
      <c r="E35" s="14">
        <f>0.387+0.388+4.31+3.1</f>
        <v>8.1850000000000005</v>
      </c>
      <c r="F35" s="14">
        <v>3.72</v>
      </c>
      <c r="G35" s="14">
        <f>1.96+2.13+2.82+1.34+2.57+0.455+0.684+0.203+3.06+3.1</f>
        <v>18.321999999999999</v>
      </c>
      <c r="H35" s="14">
        <f>3.1+3.06+0.203</f>
        <v>6.3630000000000004</v>
      </c>
      <c r="I35" s="14">
        <f>2.57+0.455+0.684+0.203+3.06+3.1</f>
        <v>10.071999999999999</v>
      </c>
      <c r="J35" s="14">
        <v>3.1</v>
      </c>
      <c r="K35" s="14">
        <f>3.89+5.79+0.405+0.464+3.8+0.293+2.74+4.31+3.1</f>
        <v>24.791999999999998</v>
      </c>
      <c r="L35" s="14">
        <f>1.96+2.13+2.82+1.34+2.57+0.455+0.684+0.203+3.06+3.1</f>
        <v>18.321999999999999</v>
      </c>
      <c r="M35" s="14">
        <f>1.34+2.57+0.455+0.684+0.203+3.06+3.1</f>
        <v>11.412000000000001</v>
      </c>
      <c r="N35" s="14">
        <f t="shared" ref="N35" si="19">0.405+0.464+3.8+0.293+2.74+4.31+3.1</f>
        <v>15.112</v>
      </c>
      <c r="O35" s="14">
        <f>0.405+0.464+3.8+0.293+2.74+4.31+3.1</f>
        <v>15.112</v>
      </c>
      <c r="P35" s="14">
        <f>5.79+0.405+0.463+3.8+0.293+2.74+4.31+3.1</f>
        <v>20.901</v>
      </c>
      <c r="Q35" s="14">
        <f>0.293+2.74+4.31+3.1</f>
        <v>10.443</v>
      </c>
      <c r="R35" s="14">
        <v>3.1</v>
      </c>
      <c r="S35" s="14">
        <f>1.1+3.1</f>
        <v>4.2</v>
      </c>
      <c r="T35" s="14">
        <f>3.1+3.06+0.203+0.684</f>
        <v>7.0470000000000006</v>
      </c>
      <c r="U35" s="14">
        <f>1.96+2.13+2.82+1.34+2.57+0.455+0.684+0.203+3.06+3.1</f>
        <v>18.321999999999999</v>
      </c>
    </row>
    <row r="36" spans="1:21" x14ac:dyDescent="0.25">
      <c r="A36" s="21" t="s">
        <v>9</v>
      </c>
      <c r="B36" s="14">
        <f>0.405+0.464+3.8+0.293+2.74+4.31+3.1</f>
        <v>15.112</v>
      </c>
      <c r="C36" s="17">
        <v>0</v>
      </c>
      <c r="D36" s="14">
        <f>0.405+0.272+2.07+3.61+3.58+1.34+2.82+2.13+1.96+4.14</f>
        <v>22.327000000000002</v>
      </c>
      <c r="E36" s="14">
        <f>0.405+0.464+3.8+0.293+2.74+0.388+0.387</f>
        <v>8.4770000000000003</v>
      </c>
      <c r="F36" s="14">
        <f>3.72+3.1+4.31+2.74+0.293+3.8+0.464+0.405</f>
        <v>18.831999999999997</v>
      </c>
      <c r="G36" s="14">
        <f>0.405+0.272+2.07+3.61+3.58+1.34+2.82+2.13+1.96</f>
        <v>18.187000000000001</v>
      </c>
      <c r="H36" s="14">
        <f>0.405+0.272+2.07+3.61+3.58+2.57+0.455+0.684</f>
        <v>13.645999999999999</v>
      </c>
      <c r="I36" s="14">
        <f>3.58+3.61+2.07+0.272+0.405</f>
        <v>9.9369999999999994</v>
      </c>
      <c r="J36" s="14">
        <f>0.405+0.464+3.8+0.293+2.74+4.31</f>
        <v>12.012</v>
      </c>
      <c r="K36" s="14">
        <f>5.79+3.89</f>
        <v>9.68</v>
      </c>
      <c r="L36" s="14">
        <f>0.405+0.272+2.07+3.61+3.58+1.34+2.82+2.13+1.96</f>
        <v>18.187000000000001</v>
      </c>
      <c r="M36" s="16">
        <f>1.34+3.58+3.61+2.07+0.272+0.405</f>
        <v>11.276999999999999</v>
      </c>
      <c r="N36" s="14">
        <v>0</v>
      </c>
      <c r="O36" s="14">
        <v>0</v>
      </c>
      <c r="P36" s="14">
        <f>0.405+5.79</f>
        <v>6.1950000000000003</v>
      </c>
      <c r="Q36" s="14">
        <f>0.405+0.464+3.8</f>
        <v>4.6689999999999996</v>
      </c>
      <c r="R36" s="14">
        <f>0.405+0.464+3.8+0.293+2.74+4.31</f>
        <v>12.012</v>
      </c>
      <c r="S36" s="14">
        <f>0.405+0.272+2.07+3.61+3.58+2.57+0.455+0.684+0.45+1.96</f>
        <v>16.055999999999997</v>
      </c>
      <c r="T36" s="14">
        <f>0.405+0.272+2.07+3.61+3.58+2.57+0.455</f>
        <v>12.962</v>
      </c>
      <c r="U36" s="14">
        <f>0.405+0.272+2.07+3.61+3.58+1.34+2.82+2.13+1.96</f>
        <v>18.187000000000001</v>
      </c>
    </row>
    <row r="37" spans="1:21" x14ac:dyDescent="0.25">
      <c r="A37" s="21" t="s">
        <v>1</v>
      </c>
      <c r="B37" s="14">
        <f>1.23+1.46+5.21+0.876+1.39+0.455+0.684+0.203+3.06+3.1</f>
        <v>17.667999999999999</v>
      </c>
      <c r="C37" s="14">
        <f>0.405+0.272+2.07+3.61+3.58+1.34+2.82+2.13+1.96+4.14</f>
        <v>22.327000000000002</v>
      </c>
      <c r="D37" s="17">
        <v>0</v>
      </c>
      <c r="E37" s="14">
        <f>1.38+3.06+0.203+0.684+0.455+1.39+0.876+5.21+1.46+1.23</f>
        <v>15.948</v>
      </c>
      <c r="F37" s="14">
        <f>1.23+1.46+5.21+0.876+2.05+9.89</f>
        <v>20.716000000000001</v>
      </c>
      <c r="G37" s="16">
        <v>4.1399999999999997</v>
      </c>
      <c r="H37" s="14">
        <f>0.684+0.455+1.39+0.876+5.21+1.46+1.23</f>
        <v>11.305</v>
      </c>
      <c r="I37" s="14">
        <f>1.34+2.82+2.13+1.96+4.14</f>
        <v>12.39</v>
      </c>
      <c r="J37" s="14">
        <f>1.23+1.46+5.21+0.876+1.39+0.455+0.684+0.203+3.06</f>
        <v>14.568</v>
      </c>
      <c r="K37" s="14">
        <f>3.89+5.79+0.405+0.272+2.07+3.61+3.58+1.34+2.82+2.13+1.96+4.14</f>
        <v>32.006999999999998</v>
      </c>
      <c r="L37" s="16">
        <v>4.1399999999999997</v>
      </c>
      <c r="M37" s="14">
        <f>2.82+2.13+1.96+4.14</f>
        <v>11.049999999999999</v>
      </c>
      <c r="N37" s="14">
        <f>0.405+0.272+2.07+3.61+3.58+1.34+2.82+2.13+1.96+4.14</f>
        <v>22.327000000000002</v>
      </c>
      <c r="O37" s="14">
        <f>0.405+0.272+2.07+3.61+3.58+1.34+2.82+2.13+1.96+4.14</f>
        <v>22.327000000000002</v>
      </c>
      <c r="P37" s="14">
        <f>5.79+0.405+0.272+2.07+3.61+3.58+1.34+2.82+2.13+1.96+4.14</f>
        <v>28.117000000000001</v>
      </c>
      <c r="Q37" s="14">
        <f>4.14+1.96+2.13+2.82+1.34+3.58+3.61+2.07+0.272+0.464+3.8</f>
        <v>26.186</v>
      </c>
      <c r="R37" s="14">
        <f>1.23+1.46+5.21+0.876+1.39+0.455+0.684+0.203+3.06</f>
        <v>14.568</v>
      </c>
      <c r="S37" s="14">
        <f>1.96+0.45+0.684+0.455+1.39+0.876+5.21+1.46+1.23</f>
        <v>13.715</v>
      </c>
      <c r="T37" s="14">
        <f>1.23+1.46+5.21+0.876+1.39+0.455</f>
        <v>10.621</v>
      </c>
      <c r="U37" s="16">
        <v>4.1399999999999997</v>
      </c>
    </row>
    <row r="38" spans="1:21" x14ac:dyDescent="0.25">
      <c r="A38" s="21" t="s">
        <v>2</v>
      </c>
      <c r="B38" s="14">
        <f>0.387+0.388+4.31+3.1</f>
        <v>8.1850000000000005</v>
      </c>
      <c r="C38" s="14">
        <f>0.405+0.464+3.8+0.293+2.74+0.388+0.387</f>
        <v>8.4770000000000003</v>
      </c>
      <c r="D38" s="14">
        <f>1.38+3.06+0.203+0.684+0.455+1.39+0.876+5.21+1.46+1.23</f>
        <v>15.948</v>
      </c>
      <c r="E38" s="17">
        <v>0</v>
      </c>
      <c r="F38" s="14">
        <f>0.387+0.388+4.31+3.1+3.72</f>
        <v>11.905000000000001</v>
      </c>
      <c r="G38" s="14">
        <f>1.96+2.13+2.82+1.34+2.57+0.455+0.684+0.203+3.06+1.38</f>
        <v>16.602</v>
      </c>
      <c r="H38" s="14">
        <f>0.203+3.06+4.31+0.387+0.388</f>
        <v>8.347999999999999</v>
      </c>
      <c r="I38" s="14">
        <f>3.58+3.61+2.07+0.272+0.464+3.8+0.293+2.74+0.388+0.387</f>
        <v>17.604000000000003</v>
      </c>
      <c r="J38" s="14">
        <f>0.387+4.31</f>
        <v>4.6969999999999992</v>
      </c>
      <c r="K38" s="14">
        <f>0.388+0.387+2.74+0.293+3.8+0.464+0.405+5.79+3.89</f>
        <v>18.157</v>
      </c>
      <c r="L38" s="14">
        <f>1.96+2.13+2.82+1.34+2.57+0.455+0.684+0.203+3.06+1.38</f>
        <v>16.602</v>
      </c>
      <c r="M38" s="14">
        <f>1.34+3.58+3.61+2.07+0.272+0.464+3.8+0.293+2.74+0.388+0.387</f>
        <v>18.943999999999999</v>
      </c>
      <c r="N38" s="14">
        <f>0.405+0.464+3.8+0.293+2.74+0.388+0.387</f>
        <v>8.4770000000000003</v>
      </c>
      <c r="O38" s="14">
        <f>0.405+0.464+3.8+0.293+2.74+0.388+0.387</f>
        <v>8.4770000000000003</v>
      </c>
      <c r="P38" s="14">
        <f>0.388+0.387+2.74+0.293+3.8+0.464+0.405+5.79</f>
        <v>14.266999999999999</v>
      </c>
      <c r="Q38" s="14">
        <f>0.293+2.74+0.388+0.387</f>
        <v>3.8080000000000003</v>
      </c>
      <c r="R38" s="14">
        <f>0.388+0.387+4.31</f>
        <v>5.085</v>
      </c>
      <c r="S38" s="14">
        <f>1.1+4.31+0.387</f>
        <v>5.7970000000000006</v>
      </c>
      <c r="T38" s="14">
        <f>0.684+0.203+3.06+4.31+0.387+0.388</f>
        <v>9.032</v>
      </c>
      <c r="U38" s="14">
        <f>1.96+2.13+2.82+1.34+2.57+0.455+0.684+0.203+3.06+1.38</f>
        <v>16.602</v>
      </c>
    </row>
    <row r="39" spans="1:21" x14ac:dyDescent="0.25">
      <c r="A39" s="21" t="s">
        <v>3</v>
      </c>
      <c r="B39" s="14">
        <v>3.72</v>
      </c>
      <c r="C39" s="14">
        <f>3.72+3.1+4.31+2.74+0.293+3.8+0.464+0.405</f>
        <v>18.831999999999997</v>
      </c>
      <c r="D39" s="14">
        <f>1.23+1.46+5.21+0.876+2.05+9.89</f>
        <v>20.716000000000001</v>
      </c>
      <c r="E39" s="14">
        <f>0.387+0.388+4.31+3.1+3.72</f>
        <v>11.905000000000001</v>
      </c>
      <c r="F39" s="17">
        <v>0</v>
      </c>
      <c r="G39" s="14">
        <f>1.96+2.13+2.82+1.34+2.57+0.455+0.684+0.203+3.06+3.1+3.72</f>
        <v>22.041999999999998</v>
      </c>
      <c r="H39" s="14">
        <f>3.72+3.1+3.06+0.203</f>
        <v>10.083</v>
      </c>
      <c r="I39" s="14">
        <f>2.57+1.39+2.05+9.89</f>
        <v>15.9</v>
      </c>
      <c r="J39" s="14">
        <f>3.1+3.72</f>
        <v>6.82</v>
      </c>
      <c r="K39" s="14">
        <f>3.72+3.1+4.31+2.74+0.293+3.8+0.464+0.405+5.79+3.89</f>
        <v>28.511999999999997</v>
      </c>
      <c r="L39" s="14">
        <f>1.96+2.13+2.82+1.34+2.57+0.455+0.684+0.203+3.06+3.1+3.72</f>
        <v>22.041999999999998</v>
      </c>
      <c r="M39" s="16">
        <f>1.34+2.57+1.39+2.05+9.89</f>
        <v>17.240000000000002</v>
      </c>
      <c r="N39" s="14">
        <f>3.72+3.1+4.31+2.74+0.293+3.8+0.464+0.405</f>
        <v>18.831999999999997</v>
      </c>
      <c r="O39" s="14">
        <f>3.72+3.1+4.31+2.74+0.293+3.8+0.464+0.405</f>
        <v>18.831999999999997</v>
      </c>
      <c r="P39" s="14">
        <f>3.72+3.1+4.31+2.74+0.293+3.8+0.464+0.405+5.79</f>
        <v>24.621999999999996</v>
      </c>
      <c r="Q39" s="14">
        <f>3.72+3.1+4.31+2.74+0.293</f>
        <v>14.162999999999998</v>
      </c>
      <c r="R39" s="14">
        <f>3.1+3.72</f>
        <v>6.82</v>
      </c>
      <c r="S39" s="14">
        <f>3.72+3.1+1.1</f>
        <v>7.92</v>
      </c>
      <c r="T39" s="14">
        <f>3.72+3.1+3.06+0.203+0.684</f>
        <v>10.766999999999999</v>
      </c>
      <c r="U39" s="14">
        <f>1.96+2.13+2.82+1.34+2.57+0.455+0.684+0.203+3.06+3.1+3.72</f>
        <v>22.041999999999998</v>
      </c>
    </row>
    <row r="40" spans="1:21" x14ac:dyDescent="0.25">
      <c r="A40" s="21" t="s">
        <v>4</v>
      </c>
      <c r="B40" s="14">
        <f>1.96+2.13+2.82+1.34+2.57+0.455+0.684+0.203+3.06+3.1</f>
        <v>18.321999999999999</v>
      </c>
      <c r="C40" s="14">
        <f>0.405+0.272+2.07+3.61+3.58+1.34+2.82+2.13+1.96</f>
        <v>18.187000000000001</v>
      </c>
      <c r="D40" s="16">
        <v>4.1399999999999997</v>
      </c>
      <c r="E40" s="14">
        <f>1.96+2.13+2.82+1.34+2.57+0.455+0.684+0.203+3.06+1.38</f>
        <v>16.602</v>
      </c>
      <c r="F40" s="14">
        <f>1.96+2.13+2.82+1.34+2.57+0.455+0.684+0.203+3.06+3.1+3.72</f>
        <v>22.041999999999998</v>
      </c>
      <c r="G40" s="17">
        <v>0</v>
      </c>
      <c r="H40" s="14">
        <f>1.96+2.13+2.82+1.34+2.57+0.455+0.684</f>
        <v>11.959</v>
      </c>
      <c r="I40" s="16">
        <f>1.34+2.82+2.13+1.96</f>
        <v>8.25</v>
      </c>
      <c r="J40" s="14">
        <f>1.96+2.13+2.82+1.34+2.57+0.455+0.684+0.203+3.06</f>
        <v>15.222</v>
      </c>
      <c r="K40" s="14">
        <f>3.89+5.79+0.405+0.272+2.07+3.61+3.58+1.34+2.82+2.13+1.96</f>
        <v>27.866999999999997</v>
      </c>
      <c r="L40" s="14">
        <v>0</v>
      </c>
      <c r="M40" s="16">
        <f>2.82+2.13+1.96</f>
        <v>6.9099999999999993</v>
      </c>
      <c r="N40" s="14">
        <f>0.405+0.272+2.07+3.61+3.58+1.34+2.82+2.13+1.96</f>
        <v>18.187000000000001</v>
      </c>
      <c r="O40" s="14">
        <f>0.405+0.272+2.07+3.61+3.58+1.34+2.82+2.13+1.96</f>
        <v>18.187000000000001</v>
      </c>
      <c r="P40" s="14">
        <f>5.79+0.405+0.272+2.07+3.61+3.58+1.34+2.82+2.13+1.96</f>
        <v>23.977</v>
      </c>
      <c r="Q40" s="14">
        <f>1.96+2.13+2.82+1.34+3.58+3.61+2.07+0.272+0.464+3.8</f>
        <v>22.045999999999996</v>
      </c>
      <c r="R40" s="14">
        <f>1.96+2.13+2.82+1.34+2.57+0.455+0.684+0.203+3.06</f>
        <v>15.222</v>
      </c>
      <c r="S40" s="14">
        <f>1.96+2.13+2.82+1.34+2.57+0.455+0.684+0.45+1.96</f>
        <v>14.369</v>
      </c>
      <c r="T40" s="14">
        <f>1.96+2.13+2.82+1.34+2.57+0.455</f>
        <v>11.275</v>
      </c>
      <c r="U40" s="14">
        <v>0</v>
      </c>
    </row>
    <row r="41" spans="1:21" x14ac:dyDescent="0.25">
      <c r="A41" s="21" t="s">
        <v>5</v>
      </c>
      <c r="B41" s="14">
        <f>3.1+3.06+0.203</f>
        <v>6.3630000000000004</v>
      </c>
      <c r="C41" s="14">
        <f>0.405+0.272+2.07+3.61+3.58+2.57+0.455+0.684</f>
        <v>13.645999999999999</v>
      </c>
      <c r="D41" s="14">
        <f>0.684+0.455+1.39+0.876+5.21+1.46+1.23</f>
        <v>11.305</v>
      </c>
      <c r="E41" s="14">
        <f>0.203+3.06+4.31+0.387+0.388</f>
        <v>8.347999999999999</v>
      </c>
      <c r="F41" s="14">
        <f>3.72+3.1+3.06+0.203</f>
        <v>10.083</v>
      </c>
      <c r="G41" s="14">
        <f>1.96+2.13+2.82+1.34+2.57+0.455+0.684</f>
        <v>11.959</v>
      </c>
      <c r="H41" s="17">
        <v>0</v>
      </c>
      <c r="I41" s="14">
        <f>2.57+0.455+0.684</f>
        <v>3.7090000000000001</v>
      </c>
      <c r="J41" s="14">
        <f>3.06+0.203</f>
        <v>3.2629999999999999</v>
      </c>
      <c r="K41" s="14">
        <f>0.203+3.06+4.31+2.74+0.293+3.8+0.464+0.405+5.79+3.89</f>
        <v>24.954999999999998</v>
      </c>
      <c r="L41" s="14">
        <f>1.96+2.13+2.82+1.34+2.57+0.455+0.684</f>
        <v>11.959</v>
      </c>
      <c r="M41" s="14">
        <f>1.34+2.57+0.455+0.684</f>
        <v>5.0490000000000004</v>
      </c>
      <c r="N41" s="14">
        <f>0.405+0.272+2.07+3.61+3.58+2.57+0.455+0.684</f>
        <v>13.645999999999999</v>
      </c>
      <c r="O41" s="14">
        <f>0.405+0.272+2.07+3.61+3.58+2.57+0.455+0.684</f>
        <v>13.645999999999999</v>
      </c>
      <c r="P41" s="14">
        <f>0.203+3.06+4.31+2.74+0.293+3.8+0.464+0.405+5.79</f>
        <v>21.064999999999998</v>
      </c>
      <c r="Q41" s="14">
        <f>0.203+3.06+4.31+2.74+0.293</f>
        <v>10.605999999999998</v>
      </c>
      <c r="R41" s="14">
        <f>3.06+0.203</f>
        <v>3.2629999999999999</v>
      </c>
      <c r="S41" s="14">
        <v>1.96</v>
      </c>
      <c r="T41" s="14">
        <f>0.684</f>
        <v>0.68400000000000005</v>
      </c>
      <c r="U41" s="14">
        <f>1.96+2.13+2.82+1.34+2.57+0.455+0.684</f>
        <v>11.959</v>
      </c>
    </row>
    <row r="42" spans="1:21" x14ac:dyDescent="0.25">
      <c r="A42" s="21" t="s">
        <v>6</v>
      </c>
      <c r="B42" s="14">
        <f>2.57+0.455+0.684+0.203+3.06+3.1</f>
        <v>10.071999999999999</v>
      </c>
      <c r="C42" s="14">
        <f>3.58+3.61+2.07+0.272+0.405</f>
        <v>9.9369999999999994</v>
      </c>
      <c r="D42" s="14">
        <f>1.34+2.82+2.13+1.96+4.14</f>
        <v>12.39</v>
      </c>
      <c r="E42" s="14">
        <f>3.58+3.61+2.07+0.272+0.464+3.8+0.293+2.74+0.388+0.387</f>
        <v>17.604000000000003</v>
      </c>
      <c r="F42" s="14">
        <f>2.57+1.39+2.05+9.89</f>
        <v>15.9</v>
      </c>
      <c r="G42" s="16">
        <f>1.34+2.82+2.13+1.96</f>
        <v>8.25</v>
      </c>
      <c r="H42" s="14">
        <f>2.57+0.455+0.684</f>
        <v>3.7090000000000001</v>
      </c>
      <c r="I42" s="17">
        <v>0</v>
      </c>
      <c r="J42" s="14">
        <f>2.57+0.455+0.684+0.203+3.06</f>
        <v>6.9719999999999995</v>
      </c>
      <c r="K42" s="14">
        <f>3.58+3.61+2.07+0.272+0.405+5.79+3.89</f>
        <v>19.617000000000001</v>
      </c>
      <c r="L42" s="16">
        <f>1.34+2.82+2.13+1.96</f>
        <v>8.25</v>
      </c>
      <c r="M42" s="18">
        <v>1.37</v>
      </c>
      <c r="N42" s="14">
        <f>3.58+3.61+2.07+0.272+0.405</f>
        <v>9.9369999999999994</v>
      </c>
      <c r="O42" s="14">
        <f>3.58+3.61+2.07+0.272+0.405</f>
        <v>9.9369999999999994</v>
      </c>
      <c r="P42" s="14">
        <f>3.58+3.61+2.07+0.272+0.405+5.79</f>
        <v>15.727</v>
      </c>
      <c r="Q42" s="14">
        <f>3.58+3.61+2.07+0.272+0.464+3.8</f>
        <v>13.795999999999999</v>
      </c>
      <c r="R42" s="14">
        <f>2.57+0.455+0.684+0.203+3.06</f>
        <v>6.9719999999999995</v>
      </c>
      <c r="S42" s="14">
        <f>2.57+0.455+0.684+0.45+1.96</f>
        <v>6.1189999999999998</v>
      </c>
      <c r="T42" s="14">
        <f>2.57+0.455</f>
        <v>3.0249999999999999</v>
      </c>
      <c r="U42" s="16">
        <f>1.34+2.82+2.13+1.96</f>
        <v>8.25</v>
      </c>
    </row>
    <row r="43" spans="1:21" x14ac:dyDescent="0.25">
      <c r="A43" s="21" t="s">
        <v>8</v>
      </c>
      <c r="B43" s="14">
        <v>3.1</v>
      </c>
      <c r="C43" s="14">
        <f>0.405+0.464+3.8+0.293+2.74+4.31</f>
        <v>12.012</v>
      </c>
      <c r="D43" s="14">
        <f>1.23+1.46+5.21+0.876+1.39+0.455+0.684+0.203+3.06</f>
        <v>14.568</v>
      </c>
      <c r="E43" s="14">
        <f>0.387+4.31</f>
        <v>4.6969999999999992</v>
      </c>
      <c r="F43" s="14">
        <f>3.1+3.72</f>
        <v>6.82</v>
      </c>
      <c r="G43" s="14">
        <f t="shared" ref="G43:L43" si="20">1.96+2.13+2.82+1.34+2.57+0.455+0.684+0.203+3.06</f>
        <v>15.222</v>
      </c>
      <c r="H43" s="14">
        <f>3.06+0.203</f>
        <v>3.2629999999999999</v>
      </c>
      <c r="I43" s="14">
        <f>2.57+0.455+0.684+0.203+3.06</f>
        <v>6.9719999999999995</v>
      </c>
      <c r="J43" s="17">
        <v>0</v>
      </c>
      <c r="K43" s="14">
        <f>4.31+2.74+0.293+3.8+0.464+0.405+5.79+3.89</f>
        <v>21.692</v>
      </c>
      <c r="L43" s="14">
        <f t="shared" si="20"/>
        <v>15.222</v>
      </c>
      <c r="M43" s="14">
        <f>1.34+2.57+0.455+0.684+0.203+3.06</f>
        <v>8.3120000000000012</v>
      </c>
      <c r="N43" s="14">
        <f>0.405+0.464+3.8+0.293+2.74+4.31</f>
        <v>12.012</v>
      </c>
      <c r="O43" s="14">
        <f>0.405+0.464+3.8+0.293+2.74+4.31</f>
        <v>12.012</v>
      </c>
      <c r="P43" s="14">
        <f>4.31+2.74+0.293+3.8+0.464+0.405+5.79</f>
        <v>17.802</v>
      </c>
      <c r="Q43" s="14">
        <f>4.31+2.74+0.293</f>
        <v>7.343</v>
      </c>
      <c r="R43" s="14">
        <v>0</v>
      </c>
      <c r="S43" s="14">
        <v>1.1000000000000001</v>
      </c>
      <c r="T43" s="14">
        <f>3.06+0.203+0.684</f>
        <v>3.9470000000000001</v>
      </c>
      <c r="U43" s="14">
        <f t="shared" ref="U43" si="21">1.96+2.13+2.82+1.34+2.57+0.455+0.684+0.203+3.06</f>
        <v>15.222</v>
      </c>
    </row>
    <row r="44" spans="1:21" x14ac:dyDescent="0.25">
      <c r="A44" s="21" t="s">
        <v>7</v>
      </c>
      <c r="B44" s="14">
        <f>3.89+5.79+0.405+0.464+3.8+0.293+2.74+4.31+3.1</f>
        <v>24.791999999999998</v>
      </c>
      <c r="C44" s="14">
        <f>5.79+3.89</f>
        <v>9.68</v>
      </c>
      <c r="D44" s="14">
        <f>3.89+5.79+0.405+0.272+2.07+3.61+3.58+1.34+2.82+2.13+1.96+4.14</f>
        <v>32.006999999999998</v>
      </c>
      <c r="E44" s="14">
        <f>0.388+0.387+2.74+0.293+3.8+0.464+0.405+5.79+3.89</f>
        <v>18.157</v>
      </c>
      <c r="F44" s="14">
        <f>3.72+3.1+4.31+2.74+0.293+3.8+0.464+0.405+5.79+3.89</f>
        <v>28.511999999999997</v>
      </c>
      <c r="G44" s="14">
        <f>3.89+5.79+0.405+0.272+2.07+3.61+3.58+1.34+2.82+2.13+1.96</f>
        <v>27.866999999999997</v>
      </c>
      <c r="H44" s="14">
        <f>0.203+3.06+4.31+2.74+0.293+3.8+0.464+0.405+5.79+3.89</f>
        <v>24.954999999999998</v>
      </c>
      <c r="I44" s="14">
        <f>3.58+3.61+2.07+0.272+0.405+5.79+3.89</f>
        <v>19.617000000000001</v>
      </c>
      <c r="J44" s="14">
        <f>4.31+2.74+0.293+3.8+0.464+0.405+5.79+3.89</f>
        <v>21.692</v>
      </c>
      <c r="K44" s="17">
        <v>0</v>
      </c>
      <c r="L44" s="14">
        <f>5.79+0.405+0.272+2.07+3.61+3.58+1.34+2.82+2.13+1.96</f>
        <v>23.977</v>
      </c>
      <c r="M44" s="14">
        <f>1.34+3.58+3.61+2.07+0.272+0.405+5.79</f>
        <v>17.067</v>
      </c>
      <c r="N44" s="14">
        <f>0.405+5.79</f>
        <v>6.1950000000000003</v>
      </c>
      <c r="O44" s="14">
        <f>0.405+5.79</f>
        <v>6.1950000000000003</v>
      </c>
      <c r="P44" s="14">
        <v>3.89</v>
      </c>
      <c r="Q44" s="14">
        <f>3.8+0.464+0.405+5.79+3.89</f>
        <v>14.349</v>
      </c>
      <c r="R44" s="14">
        <f>4.31+2.74+0.293+3.8+0.464+0.405+5.79+3.89</f>
        <v>21.692</v>
      </c>
      <c r="S44" s="14">
        <f>1.1+4.31+2.74+0.293+3.8+0.464+0.405+5.79+3.89</f>
        <v>22.791999999999998</v>
      </c>
      <c r="T44" s="14">
        <f>0.684+0.203+3.06+4.31+2.74+0.293+3.8+0.464+0.405+5.79+3.89</f>
        <v>25.638999999999999</v>
      </c>
      <c r="U44" s="14">
        <f>5.79+0.405+0.272+2.07+3.61+3.58+1.34+2.82+2.13+1.96</f>
        <v>23.977</v>
      </c>
    </row>
    <row r="47" spans="1:21" x14ac:dyDescent="0.25">
      <c r="B47"/>
      <c r="C47"/>
      <c r="D47"/>
      <c r="E47"/>
      <c r="F47"/>
      <c r="G47"/>
      <c r="H47"/>
    </row>
    <row r="48" spans="1:21" x14ac:dyDescent="0.25">
      <c r="A48" s="24" t="s">
        <v>39</v>
      </c>
      <c r="B48"/>
      <c r="C48" t="s">
        <v>10</v>
      </c>
      <c r="D48"/>
      <c r="E48"/>
      <c r="F48"/>
      <c r="G48"/>
      <c r="H48"/>
    </row>
    <row r="49" spans="1:11" ht="30" x14ac:dyDescent="0.25">
      <c r="A49" s="24" t="s">
        <v>40</v>
      </c>
      <c r="B49"/>
      <c r="C49" t="s">
        <v>11</v>
      </c>
      <c r="D49"/>
      <c r="E49"/>
      <c r="F49"/>
      <c r="G49"/>
      <c r="H49"/>
    </row>
    <row r="50" spans="1:11" x14ac:dyDescent="0.25">
      <c r="A50" s="24" t="s">
        <v>41</v>
      </c>
      <c r="B50"/>
      <c r="C50"/>
      <c r="D50"/>
      <c r="E50"/>
      <c r="F50"/>
      <c r="G50"/>
      <c r="H50"/>
    </row>
    <row r="51" spans="1:11" ht="30" x14ac:dyDescent="0.25">
      <c r="A51" s="24" t="s">
        <v>42</v>
      </c>
      <c r="I51" s="1"/>
      <c r="J51" s="1"/>
      <c r="K51" s="1"/>
    </row>
    <row r="52" spans="1:11" ht="30" x14ac:dyDescent="0.25">
      <c r="A52" s="24" t="s">
        <v>38</v>
      </c>
      <c r="B52"/>
      <c r="C52"/>
      <c r="D52"/>
      <c r="E52"/>
      <c r="F52"/>
      <c r="G52"/>
      <c r="H52"/>
    </row>
    <row r="53" spans="1:11" x14ac:dyDescent="0.25">
      <c r="A53" s="24" t="s">
        <v>43</v>
      </c>
      <c r="B53"/>
      <c r="C53"/>
      <c r="D53"/>
      <c r="E53"/>
      <c r="F53"/>
      <c r="G53"/>
      <c r="H53"/>
    </row>
    <row r="54" spans="1:11" ht="30" x14ac:dyDescent="0.25">
      <c r="A54" s="24" t="s">
        <v>44</v>
      </c>
      <c r="B54"/>
      <c r="C54"/>
      <c r="D54"/>
      <c r="E54"/>
      <c r="F54"/>
      <c r="G54"/>
      <c r="H54"/>
    </row>
    <row r="55" spans="1:11" ht="45" x14ac:dyDescent="0.25">
      <c r="A55" s="24" t="s">
        <v>45</v>
      </c>
      <c r="B55"/>
      <c r="C55"/>
      <c r="D55"/>
      <c r="E55"/>
      <c r="F55"/>
      <c r="G55"/>
      <c r="H55"/>
    </row>
    <row r="56" spans="1:11" ht="30" x14ac:dyDescent="0.25">
      <c r="A56" s="24" t="s">
        <v>46</v>
      </c>
      <c r="B56"/>
      <c r="C56"/>
      <c r="D56"/>
      <c r="E56"/>
      <c r="F56"/>
      <c r="G56"/>
      <c r="H56"/>
    </row>
    <row r="57" spans="1:11" x14ac:dyDescent="0.25">
      <c r="A57" s="24" t="s">
        <v>47</v>
      </c>
      <c r="B57"/>
      <c r="C57"/>
      <c r="D57"/>
      <c r="E57"/>
      <c r="F57"/>
      <c r="G57"/>
      <c r="H57"/>
    </row>
    <row r="58" spans="1:11" x14ac:dyDescent="0.25">
      <c r="A58" s="25" t="s">
        <v>0</v>
      </c>
      <c r="B58"/>
      <c r="C58"/>
      <c r="D58"/>
      <c r="E58"/>
      <c r="F58"/>
      <c r="G58"/>
      <c r="H58"/>
    </row>
    <row r="59" spans="1:11" x14ac:dyDescent="0.25">
      <c r="A59" s="25" t="s">
        <v>9</v>
      </c>
      <c r="B59"/>
      <c r="C59"/>
      <c r="D59"/>
      <c r="E59"/>
      <c r="F59"/>
      <c r="G59"/>
      <c r="H59"/>
    </row>
    <row r="60" spans="1:11" x14ac:dyDescent="0.25">
      <c r="A60" s="25" t="s">
        <v>1</v>
      </c>
      <c r="B60"/>
      <c r="C60"/>
      <c r="D60"/>
      <c r="E60"/>
      <c r="F60"/>
      <c r="G60"/>
      <c r="H60"/>
    </row>
    <row r="61" spans="1:11" x14ac:dyDescent="0.25">
      <c r="A61" s="25" t="s">
        <v>2</v>
      </c>
      <c r="B61"/>
      <c r="C61"/>
      <c r="D61"/>
      <c r="E61"/>
      <c r="F61"/>
      <c r="G61"/>
      <c r="H61"/>
    </row>
    <row r="62" spans="1:11" x14ac:dyDescent="0.25">
      <c r="A62" s="25" t="s">
        <v>3</v>
      </c>
      <c r="B62"/>
      <c r="C62"/>
      <c r="D62"/>
      <c r="E62"/>
      <c r="F62"/>
      <c r="G62"/>
      <c r="H62"/>
    </row>
    <row r="63" spans="1:11" x14ac:dyDescent="0.25">
      <c r="A63" s="25" t="s">
        <v>4</v>
      </c>
      <c r="B63"/>
      <c r="C63"/>
      <c r="D63"/>
      <c r="E63"/>
      <c r="F63"/>
      <c r="G63"/>
      <c r="H63"/>
    </row>
    <row r="64" spans="1:11" x14ac:dyDescent="0.25">
      <c r="A64" s="25" t="s">
        <v>5</v>
      </c>
      <c r="B64"/>
      <c r="C64"/>
      <c r="D64"/>
      <c r="E64"/>
      <c r="F64"/>
      <c r="G64"/>
      <c r="H64"/>
    </row>
    <row r="65" spans="1:8" x14ac:dyDescent="0.25">
      <c r="A65" s="25" t="s">
        <v>6</v>
      </c>
      <c r="B65"/>
      <c r="C65"/>
      <c r="D65"/>
      <c r="E65"/>
      <c r="F65"/>
      <c r="G65"/>
      <c r="H65"/>
    </row>
    <row r="66" spans="1:8" x14ac:dyDescent="0.25">
      <c r="A66" s="25" t="s">
        <v>8</v>
      </c>
      <c r="B66"/>
      <c r="C66"/>
      <c r="D66"/>
      <c r="E66"/>
      <c r="F66"/>
      <c r="G66"/>
      <c r="H66"/>
    </row>
    <row r="67" spans="1:8" x14ac:dyDescent="0.25">
      <c r="A67" s="25" t="s">
        <v>7</v>
      </c>
      <c r="B67"/>
      <c r="C67"/>
      <c r="D67"/>
      <c r="E67"/>
      <c r="F67"/>
      <c r="G67"/>
      <c r="H67"/>
    </row>
    <row r="68" spans="1:8" x14ac:dyDescent="0.25">
      <c r="B68"/>
      <c r="C68"/>
      <c r="D68"/>
      <c r="E68"/>
      <c r="F68"/>
      <c r="G68"/>
      <c r="H68"/>
    </row>
    <row r="69" spans="1:8" x14ac:dyDescent="0.25">
      <c r="B69"/>
      <c r="C69"/>
      <c r="D69"/>
      <c r="E69"/>
      <c r="F69"/>
      <c r="G69"/>
      <c r="H69"/>
    </row>
    <row r="70" spans="1:8" x14ac:dyDescent="0.25">
      <c r="B70"/>
      <c r="C70"/>
      <c r="D70"/>
      <c r="E70"/>
      <c r="F70"/>
      <c r="G70"/>
      <c r="H70"/>
    </row>
    <row r="71" spans="1:8" x14ac:dyDescent="0.25">
      <c r="B71"/>
      <c r="C71"/>
      <c r="D71"/>
      <c r="E71"/>
      <c r="F71"/>
      <c r="G71"/>
      <c r="H71"/>
    </row>
    <row r="72" spans="1:8" x14ac:dyDescent="0.25">
      <c r="B72"/>
      <c r="C72"/>
      <c r="D72"/>
      <c r="E72"/>
      <c r="F72"/>
      <c r="G72"/>
      <c r="H72"/>
    </row>
    <row r="73" spans="1:8" x14ac:dyDescent="0.25">
      <c r="B73"/>
      <c r="C73"/>
      <c r="D73"/>
      <c r="E73"/>
      <c r="F73"/>
      <c r="G73"/>
      <c r="H73"/>
    </row>
    <row r="74" spans="1:8" x14ac:dyDescent="0.25">
      <c r="B74"/>
      <c r="C74"/>
      <c r="D74"/>
      <c r="E74"/>
      <c r="F74"/>
      <c r="G74"/>
      <c r="H74"/>
    </row>
    <row r="75" spans="1:8" x14ac:dyDescent="0.25">
      <c r="B75"/>
      <c r="C75"/>
      <c r="D75"/>
      <c r="E75"/>
      <c r="F75"/>
      <c r="G75"/>
      <c r="H75"/>
    </row>
    <row r="76" spans="1:8" x14ac:dyDescent="0.25">
      <c r="B76"/>
      <c r="C76"/>
      <c r="D76"/>
      <c r="E76"/>
      <c r="F76"/>
      <c r="G76"/>
      <c r="H76"/>
    </row>
    <row r="77" spans="1:8" x14ac:dyDescent="0.25">
      <c r="B77"/>
      <c r="C77"/>
      <c r="D77"/>
      <c r="E77"/>
      <c r="F77"/>
      <c r="G77"/>
      <c r="H77"/>
    </row>
    <row r="78" spans="1:8" x14ac:dyDescent="0.25">
      <c r="B78"/>
      <c r="C78"/>
      <c r="D78"/>
      <c r="E78"/>
      <c r="F78"/>
      <c r="G78"/>
      <c r="H78"/>
    </row>
    <row r="79" spans="1:8" x14ac:dyDescent="0.25">
      <c r="B79"/>
      <c r="C79"/>
      <c r="D79"/>
      <c r="E79"/>
      <c r="F79"/>
      <c r="G79"/>
      <c r="H79"/>
    </row>
    <row r="80" spans="1:8" x14ac:dyDescent="0.25">
      <c r="B80"/>
      <c r="C80"/>
      <c r="D80"/>
      <c r="E80"/>
      <c r="F80"/>
      <c r="G80"/>
      <c r="H80"/>
    </row>
    <row r="81" spans="2:8" x14ac:dyDescent="0.25">
      <c r="B81"/>
      <c r="C81"/>
      <c r="D81"/>
      <c r="E81"/>
      <c r="F81"/>
      <c r="G81"/>
      <c r="H81"/>
    </row>
    <row r="82" spans="2:8" x14ac:dyDescent="0.25">
      <c r="B82"/>
      <c r="C82"/>
      <c r="D82"/>
      <c r="E82"/>
      <c r="F82"/>
      <c r="G82"/>
      <c r="H82"/>
    </row>
    <row r="83" spans="2:8" x14ac:dyDescent="0.25">
      <c r="B83"/>
      <c r="C83"/>
      <c r="D83"/>
      <c r="E83"/>
      <c r="F83"/>
      <c r="G83"/>
      <c r="H83"/>
    </row>
  </sheetData>
  <sheetProtection algorithmName="SHA-512" hashValue="6RNzbqfNpdMCbYOj1EoirEJp3Rrm2Ydl3tYlNX987kKuNxK1Izar47ujmPwvOLpgq31aDVtgoueVU40922SRog==" saltValue="kNYblgVKRAwygYoNvB0iBQ=="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Simulateur</vt:lpstr>
      <vt:lpstr>Tableau de référence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Bibliotheque</dc:creator>
  <cp:lastModifiedBy>Bibliotheque</cp:lastModifiedBy>
  <cp:lastPrinted>2018-05-20T12:52:11Z</cp:lastPrinted>
  <dcterms:created xsi:type="dcterms:W3CDTF">2018-02-20T09:36:32Z</dcterms:created>
  <dcterms:modified xsi:type="dcterms:W3CDTF">2018-05-20T13:32:54Z</dcterms:modified>
</cp:coreProperties>
</file>